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https://ontariogov-my.sharepoint.com/personal/jonathan_kiam-pupu_ontario_ca/Documents/Desktop/"/>
    </mc:Choice>
  </mc:AlternateContent>
  <xr:revisionPtr revIDLastSave="0" documentId="8_{D7B72D78-EC47-4804-8BAD-92BFE8CB00AD}" xr6:coauthVersionLast="47" xr6:coauthVersionMax="47" xr10:uidLastSave="{00000000-0000-0000-0000-000000000000}"/>
  <workbookProtection workbookAlgorithmName="SHA-512" workbookHashValue="VwabO1F3irJBxsJQ73808qgbmcoNdZSr1EwbCOFwk5h9YkFKDUZz9e53FkHBwZIwdaCgMp582QqDbhUlixiPzQ==" workbookSaltValue="Cnhfi6xkGoos4GGAcwnMJA==" workbookSpinCount="100000" lockStructure="1"/>
  <bookViews>
    <workbookView xWindow="-120" yWindow="-120" windowWidth="20730" windowHeight="11160" tabRatio="689" xr2:uid="{00000000-000D-0000-FFFF-FFFF00000000}"/>
  </bookViews>
  <sheets>
    <sheet name="Main" sheetId="2" r:id="rId1"/>
    <sheet name="Table" sheetId="10" state="hidden" r:id="rId2"/>
    <sheet name="Monthly" sheetId="3" state="hidden" r:id="rId3"/>
    <sheet name="Definitions for EXCEED" sheetId="11" state="hidden" r:id="rId4"/>
  </sheets>
  <definedNames>
    <definedName name="AgreementNumber">Main!$G$7</definedName>
    <definedName name="C_1_Completion">Monthly!$F$168</definedName>
    <definedName name="C_1_Number">Table!$D$4</definedName>
    <definedName name="C_1_Rating">Monthly!$G$102</definedName>
    <definedName name="C_1_Weight">Table!$C$4</definedName>
    <definedName name="C_11_D">'Definitions for EXCEED'!$B$4</definedName>
    <definedName name="C_111">Monthly!$E$115</definedName>
    <definedName name="C_111_CA">Monthly!$H$23</definedName>
    <definedName name="C_111_MTO">Monthly!$G$23</definedName>
    <definedName name="C_112">Monthly!$E$116</definedName>
    <definedName name="C_113">Monthly!$E$117</definedName>
    <definedName name="C_114">Monthly!$E$118</definedName>
    <definedName name="C_12_D">'Definitions for EXCEED'!$B$5</definedName>
    <definedName name="C_121">Monthly!$E$124</definedName>
    <definedName name="C_121_CA">Monthly!$H$24</definedName>
    <definedName name="C_121_MTO">Monthly!$G$24</definedName>
    <definedName name="C_122">Monthly!$E$125</definedName>
    <definedName name="C_123">Monthly!$E$126</definedName>
    <definedName name="C_124">Monthly!$E$127</definedName>
    <definedName name="C_13_D">'Definitions for EXCEED'!$B$6</definedName>
    <definedName name="C_131">Monthly!$E$133</definedName>
    <definedName name="C_131_CA">Monthly!$H$25</definedName>
    <definedName name="C_131_MTO">Monthly!$G$25</definedName>
    <definedName name="C_132">Monthly!$E$134</definedName>
    <definedName name="C_133">Monthly!$E$135</definedName>
    <definedName name="C_134">Monthly!$E$136</definedName>
    <definedName name="C_14_D">'Definitions for EXCEED'!$B$7</definedName>
    <definedName name="C_141">Monthly!$E$142</definedName>
    <definedName name="C_141_CA">Monthly!$H$26</definedName>
    <definedName name="C_141_MTO">Monthly!$G$26</definedName>
    <definedName name="C_142">Monthly!$E$143</definedName>
    <definedName name="C_143">Monthly!$E$144</definedName>
    <definedName name="C_144">Monthly!$E$145</definedName>
    <definedName name="C_15_D">'Definitions for EXCEED'!$B$8</definedName>
    <definedName name="C_151">Monthly!$E$151</definedName>
    <definedName name="C_151_CA">Monthly!$H$27</definedName>
    <definedName name="C_151_MTO">Monthly!$G$27</definedName>
    <definedName name="C_152">Monthly!$E$152</definedName>
    <definedName name="C_153">Monthly!$E$153</definedName>
    <definedName name="C_154">Monthly!$E$154</definedName>
    <definedName name="C_16_D">'Definitions for EXCEED'!$B$9</definedName>
    <definedName name="C_161">Monthly!$E$160</definedName>
    <definedName name="C_161_CA">Monthly!$H$28</definedName>
    <definedName name="C_161_MTO">Monthly!$G$28</definedName>
    <definedName name="C_162">Monthly!$E$161</definedName>
    <definedName name="C_163">Monthly!$E$162</definedName>
    <definedName name="C_164">Monthly!$E$163</definedName>
    <definedName name="C_2_Completion">Monthly!$F$227</definedName>
    <definedName name="C_2_D">'Definitions for EXCEED'!$B$14</definedName>
    <definedName name="C_2_Number">Table!$D$5</definedName>
    <definedName name="C_2_Rating">Monthly!$G$103</definedName>
    <definedName name="C_2_Weight">Table!$C$5</definedName>
    <definedName name="C_21_D">'Definitions for EXCEED'!$B$13</definedName>
    <definedName name="C_211">Monthly!$E$174</definedName>
    <definedName name="C_211_CA">Monthly!$H$35</definedName>
    <definedName name="C_211_MTO">Monthly!$G$35</definedName>
    <definedName name="C_212">Monthly!$E$175</definedName>
    <definedName name="C_213">Monthly!$E$176</definedName>
    <definedName name="C_214">Monthly!$E$177</definedName>
    <definedName name="C_22_D">'Definitions for EXCEED'!$B$15</definedName>
    <definedName name="C_221">Monthly!$E$183</definedName>
    <definedName name="C_221_CA">Monthly!$H$37</definedName>
    <definedName name="C_221_MTO">Monthly!$G$37</definedName>
    <definedName name="C_222">Monthly!$E$184</definedName>
    <definedName name="C_223">Monthly!$E$185</definedName>
    <definedName name="C_224">Monthly!$E$186</definedName>
    <definedName name="C_23_D">'Definitions for EXCEED'!$B$16</definedName>
    <definedName name="C_231">Monthly!$E$192</definedName>
    <definedName name="C_231_CA">Monthly!$H$38</definedName>
    <definedName name="C_231_MTO">Monthly!$G$38</definedName>
    <definedName name="C_232">Monthly!$E$193</definedName>
    <definedName name="C_233">Monthly!$E$194</definedName>
    <definedName name="C_234">Monthly!$E$195</definedName>
    <definedName name="C_24_D">'Definitions for EXCEED'!$B$17</definedName>
    <definedName name="C_241">Monthly!$E$201</definedName>
    <definedName name="C_241_CA">Monthly!$H$39</definedName>
    <definedName name="C_241_MTO">Monthly!$G$39</definedName>
    <definedName name="C_242">Monthly!$E$202</definedName>
    <definedName name="C_243">Monthly!$E$203</definedName>
    <definedName name="C_244">Monthly!$E$204</definedName>
    <definedName name="C_25_D">'Definitions for EXCEED'!$B$18</definedName>
    <definedName name="C_251">Monthly!$E$210</definedName>
    <definedName name="C_251_CA">Monthly!$H$40</definedName>
    <definedName name="C_251_MTO">Monthly!$G$40</definedName>
    <definedName name="C_252">Monthly!$E$211</definedName>
    <definedName name="C_253">Monthly!$E$212</definedName>
    <definedName name="C_254">Monthly!$E$213</definedName>
    <definedName name="C_261">Monthly!$E$219</definedName>
    <definedName name="C_261_CA">Monthly!$H$40</definedName>
    <definedName name="C_261_MTO">Monthly!$G$40</definedName>
    <definedName name="C_262">Monthly!$E$220</definedName>
    <definedName name="C_263">Monthly!$E$221</definedName>
    <definedName name="C_264">Monthly!$E$222</definedName>
    <definedName name="C_3_Completion">Monthly!$F$304</definedName>
    <definedName name="C_3_D">'Definitions for EXCEED'!$B$23</definedName>
    <definedName name="C_3_Number">Table!$D$6</definedName>
    <definedName name="C_3_Rating">Monthly!$G$104</definedName>
    <definedName name="C_3_Weight">Table!$C$6</definedName>
    <definedName name="C_30_D">'Definitions for EXCEED'!$B$25</definedName>
    <definedName name="C_31_D">'Definitions for EXCEED'!$B$22</definedName>
    <definedName name="C_311">Monthly!$E$233</definedName>
    <definedName name="C_311_CA">Monthly!$H$48</definedName>
    <definedName name="C_311_MTO">Monthly!$G$48</definedName>
    <definedName name="C_312">Monthly!$E$234</definedName>
    <definedName name="C_313">Monthly!$E$235</definedName>
    <definedName name="C_314">Monthly!$E$236</definedName>
    <definedName name="C_32_D">'Definitions for EXCEED'!$B$24</definedName>
    <definedName name="C_321">Monthly!$E$242</definedName>
    <definedName name="C_321_CA">Monthly!$H$49</definedName>
    <definedName name="C_321_MTO">Monthly!$G$49</definedName>
    <definedName name="C_322">Monthly!$E$243</definedName>
    <definedName name="C_323">Monthly!$E$244</definedName>
    <definedName name="C_324">Monthly!$E$245</definedName>
    <definedName name="C_33_D">'Definitions for EXCEED'!$B$26</definedName>
    <definedName name="C_331">Monthly!$E$251</definedName>
    <definedName name="C_331_CA">Monthly!$H$50</definedName>
    <definedName name="C_331_MTO">Monthly!$G$50</definedName>
    <definedName name="C_332">Monthly!$E$252</definedName>
    <definedName name="C_333">Monthly!$E$253</definedName>
    <definedName name="C_334">Monthly!$E$254</definedName>
    <definedName name="C_34_D">'Definitions for EXCEED'!$B$28</definedName>
    <definedName name="C_341">Monthly!$E$260</definedName>
    <definedName name="C_341_CA">Monthly!$H$51</definedName>
    <definedName name="C_341_MTO">Monthly!$G$51</definedName>
    <definedName name="C_342">Monthly!$E$261</definedName>
    <definedName name="C_343">Monthly!$E$262</definedName>
    <definedName name="C_344">Monthly!$E$263</definedName>
    <definedName name="C_35_D">'Definitions for EXCEED'!$B$29</definedName>
    <definedName name="C_351">Monthly!$E$269</definedName>
    <definedName name="C_351_CA">Monthly!$H$52</definedName>
    <definedName name="C_351_MTO">Monthly!$G$52</definedName>
    <definedName name="C_352">Monthly!$E$270</definedName>
    <definedName name="C_353">Monthly!$E$271</definedName>
    <definedName name="C_354">Monthly!$E$272</definedName>
    <definedName name="C_36_D">'Definitions for EXCEED'!$B$27</definedName>
    <definedName name="C_361">Monthly!$E$278</definedName>
    <definedName name="C_361_CA">Monthly!#REF!</definedName>
    <definedName name="C_361_MTO">Monthly!#REF!</definedName>
    <definedName name="C_362">Monthly!$E$279</definedName>
    <definedName name="C_363">Monthly!$E$280</definedName>
    <definedName name="C_364">Monthly!$E$281</definedName>
    <definedName name="C_371">Monthly!$E$287</definedName>
    <definedName name="C_371_CA">Monthly!$H$51</definedName>
    <definedName name="C_371_MTO">Monthly!$G$51</definedName>
    <definedName name="C_372">Monthly!$E$288</definedName>
    <definedName name="C_373">Monthly!$E$289</definedName>
    <definedName name="C_374">Monthly!$E$290</definedName>
    <definedName name="C_381">Monthly!$E$296</definedName>
    <definedName name="C_381_CA">Monthly!$H$52</definedName>
    <definedName name="C_381_MTO">Monthly!$G$52</definedName>
    <definedName name="C_382">Monthly!$E$297</definedName>
    <definedName name="C_383">Monthly!$E$298</definedName>
    <definedName name="C_384">Monthly!$E$299</definedName>
    <definedName name="C_4_Completion">Monthly!$F$354</definedName>
    <definedName name="C_4_Number">Table!$D$7</definedName>
    <definedName name="C_4_Rating">Monthly!$G$105</definedName>
    <definedName name="C_4_Weight">Table!$C$7</definedName>
    <definedName name="C_41_D">'Definitions for EXCEED'!$B$33</definedName>
    <definedName name="C_411">Monthly!$E$310</definedName>
    <definedName name="C_411_CA">Monthly!$H$59</definedName>
    <definedName name="C_411_MTO">Monthly!$G$59</definedName>
    <definedName name="C_412">Monthly!$E$311</definedName>
    <definedName name="C_413">Monthly!$E$312</definedName>
    <definedName name="C_414">Monthly!$E$313</definedName>
    <definedName name="C_42_D">'Definitions for EXCEED'!$B$34</definedName>
    <definedName name="C_421">Monthly!$E$319</definedName>
    <definedName name="C_421_CA">Monthly!$H$60</definedName>
    <definedName name="C_421_MTO">Monthly!$G$60</definedName>
    <definedName name="C_422">Monthly!$E$320</definedName>
    <definedName name="C_423">Monthly!$E$321</definedName>
    <definedName name="C_424">Monthly!$E$322</definedName>
    <definedName name="C_43_D">'Definitions for EXCEED'!$B$35</definedName>
    <definedName name="C_431">Monthly!$E$328</definedName>
    <definedName name="C_431_CA">Monthly!$H$61</definedName>
    <definedName name="C_431_MTO">Monthly!$G$61</definedName>
    <definedName name="C_432">Monthly!$E$329</definedName>
    <definedName name="C_433">Monthly!$E$330</definedName>
    <definedName name="C_434">Monthly!$E$331</definedName>
    <definedName name="C_44_D">'Definitions for EXCEED'!$B$36</definedName>
    <definedName name="C_441">Monthly!$E$337</definedName>
    <definedName name="C_441_CA">Monthly!$H$62</definedName>
    <definedName name="C_441_MTO">Monthly!$G$62</definedName>
    <definedName name="C_442">Monthly!$E$338</definedName>
    <definedName name="C_443">Monthly!$E$339</definedName>
    <definedName name="C_444">Monthly!$E$340</definedName>
    <definedName name="C_45_D">'Definitions for EXCEED'!$B$37</definedName>
    <definedName name="C_451">Monthly!$E$346</definedName>
    <definedName name="C_451_CA">Monthly!$H$63</definedName>
    <definedName name="C_451_MTO">Monthly!$G$63</definedName>
    <definedName name="C_452">Monthly!$E$347</definedName>
    <definedName name="C_453">Monthly!$E$348</definedName>
    <definedName name="C_454">Monthly!$E$349</definedName>
    <definedName name="C_5_Completion">Monthly!$F$404</definedName>
    <definedName name="C_5_D">'Definitions for EXCEED'!$B$43</definedName>
    <definedName name="C_5_Number">Table!$D$8</definedName>
    <definedName name="C_5_Rating">Monthly!$G$106</definedName>
    <definedName name="C_5_Weight">Table!$C$8</definedName>
    <definedName name="C_51_D">'Definitions for EXCEED'!$B$41</definedName>
    <definedName name="C_511">Monthly!$E$360</definedName>
    <definedName name="C_511_CA">Monthly!$H$71</definedName>
    <definedName name="C_511_MTO">Monthly!$G$71</definedName>
    <definedName name="C_512">Monthly!$E$361</definedName>
    <definedName name="C_513">Monthly!$E$362</definedName>
    <definedName name="C_514">Monthly!$E$363</definedName>
    <definedName name="C_52_D">'Definitions for EXCEED'!$B$42</definedName>
    <definedName name="C_521">Monthly!$E$369</definedName>
    <definedName name="C_521_CA">Monthly!$H$72</definedName>
    <definedName name="C_521_MTO">Monthly!$G$72</definedName>
    <definedName name="C_522">Monthly!$E$370</definedName>
    <definedName name="C_523">Monthly!$E$371</definedName>
    <definedName name="C_524">Monthly!$E$372</definedName>
    <definedName name="C_53_D">'Definitions for EXCEED'!$B$44</definedName>
    <definedName name="C_531">Monthly!$E$378</definedName>
    <definedName name="C_531_CA">Monthly!$H$74</definedName>
    <definedName name="C_531_MTO">Monthly!$G$74</definedName>
    <definedName name="C_532">Monthly!$E$379</definedName>
    <definedName name="C_533">Monthly!$E$380</definedName>
    <definedName name="C_534">Monthly!$E$381</definedName>
    <definedName name="C_54_D">'Definitions for EXCEED'!$B$45</definedName>
    <definedName name="C_541">Monthly!$E$387</definedName>
    <definedName name="C_541_CA">Monthly!$H$75</definedName>
    <definedName name="C_541_MTO">Monthly!$G$75</definedName>
    <definedName name="C_542">Monthly!$E$388</definedName>
    <definedName name="C_543">Monthly!$E$389</definedName>
    <definedName name="C_544">Monthly!$E$390</definedName>
    <definedName name="C_551">Monthly!$E$396</definedName>
    <definedName name="C_551_CA">Monthly!$H$76</definedName>
    <definedName name="C_551_MTO">Monthly!$G$75</definedName>
    <definedName name="C_552">Monthly!$E$397</definedName>
    <definedName name="C_553">Monthly!$E$398</definedName>
    <definedName name="C_554">Monthly!$E$399</definedName>
    <definedName name="C_561">Monthly!#REF!</definedName>
    <definedName name="C_561_CA">Monthly!$H$76</definedName>
    <definedName name="C_561_MTO">Monthly!$G$76</definedName>
    <definedName name="C_562">Monthly!#REF!</definedName>
    <definedName name="C_563">Monthly!#REF!</definedName>
    <definedName name="C_564">Monthly!#REF!</definedName>
    <definedName name="C_6_Completion">Monthly!$F$445</definedName>
    <definedName name="C_6_Number">Table!$D$9</definedName>
    <definedName name="C_6_Rating">Monthly!$G$107</definedName>
    <definedName name="C_6_Weight">Table!$C$9</definedName>
    <definedName name="C_61_D">'Definitions for EXCEED'!$B$49</definedName>
    <definedName name="C_611">Monthly!$E$410</definedName>
    <definedName name="C_611_CA">Monthly!$H$83</definedName>
    <definedName name="C_611_MTO">Monthly!$G$83</definedName>
    <definedName name="C_612">Monthly!$E$411</definedName>
    <definedName name="C_613">Monthly!$E$412</definedName>
    <definedName name="C_614">Monthly!$E$413</definedName>
    <definedName name="C_62_D">'Definitions for EXCEED'!$B$50</definedName>
    <definedName name="C_621">Monthly!$E$419</definedName>
    <definedName name="C_621_CA">Monthly!$H$84</definedName>
    <definedName name="C_621_MTO">Monthly!$G$84</definedName>
    <definedName name="C_622">Monthly!$E$420</definedName>
    <definedName name="C_623">Monthly!$E$421</definedName>
    <definedName name="C_624">Monthly!$E$422</definedName>
    <definedName name="C_63_D">'Definitions for EXCEED'!$B$51</definedName>
    <definedName name="C_631">Monthly!$E$428</definedName>
    <definedName name="C_631_CA">Monthly!$H$85</definedName>
    <definedName name="C_631_MTO">Monthly!$G$85</definedName>
    <definedName name="C_632">Monthly!$E$429</definedName>
    <definedName name="C_633">Monthly!$E$430</definedName>
    <definedName name="C_634">Monthly!$E$431</definedName>
    <definedName name="C_64_D">'Definitions for EXCEED'!$B$52</definedName>
    <definedName name="C_641">Monthly!$E$437</definedName>
    <definedName name="C_641_CA">Monthly!$H$86</definedName>
    <definedName name="C_641_MTO">Monthly!$G$86</definedName>
    <definedName name="C_642">Monthly!$E$438</definedName>
    <definedName name="C_643">Monthly!$E$439</definedName>
    <definedName name="C_644">Monthly!$E$440</definedName>
    <definedName name="C_7_Completion">Monthly!$F$455</definedName>
    <definedName name="C_7_Number">Table!$D$10</definedName>
    <definedName name="C_7_Rating">Monthly!$G$108</definedName>
    <definedName name="C_7_Weight">Table!$C$10</definedName>
    <definedName name="C_711">Monthly!$E$451</definedName>
    <definedName name="C_711_CA">Monthly!$H$93</definedName>
    <definedName name="C_711_MTO">Monthly!$G$93</definedName>
    <definedName name="C_712">Monthly!$E$452</definedName>
    <definedName name="C_Total_Weight">Table!$C$11</definedName>
    <definedName name="Final_CB">Table!$D$16</definedName>
    <definedName name="Final_Score">Main!$C$29</definedName>
    <definedName name="Interim_CB">Table!$D$15</definedName>
    <definedName name="Month">Main!$Q$13</definedName>
    <definedName name="Monthly">Monthly!$B$18</definedName>
    <definedName name="Monthly_CB">Table!$D$14</definedName>
    <definedName name="Monthly_Final_Rating">Monthly!#REF!</definedName>
    <definedName name="_xlnm.Print_Area" localSheetId="0">Main!$B$2:$I$30</definedName>
    <definedName name="_xlnm.Print_Area" localSheetId="2">Monthly!$B$18:$H$99</definedName>
    <definedName name="Q_Num">Monthly!$J$111</definedName>
    <definedName name="Retainer_CB">Table!$D$23</definedName>
    <definedName name="RFP_CB">Table!$D$20</definedName>
    <definedName name="RFQ_CB">Table!$D$21</definedName>
    <definedName name="RR_CB">Table!$D$22</definedName>
    <definedName name="Single_Source_CB">Table!$D$24</definedName>
    <definedName name="Sole_Source_CB">Table!$D$25</definedName>
    <definedName name="Year">Main!$N$13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3" i="3" l="1"/>
  <c r="O8" i="10" l="1"/>
  <c r="O9" i="10"/>
  <c r="Q9" i="10" s="1"/>
  <c r="P9" i="10" s="1"/>
  <c r="O10" i="10"/>
  <c r="Q10" i="10" s="1"/>
  <c r="P10" i="10" s="1"/>
  <c r="O11" i="10"/>
  <c r="Q11" i="10" s="1"/>
  <c r="P11" i="10" s="1"/>
  <c r="O12" i="10"/>
  <c r="Q12" i="10" s="1"/>
  <c r="P12" i="10" s="1"/>
  <c r="O13" i="10"/>
  <c r="Q13" i="10" s="1"/>
  <c r="P13" i="10" s="1"/>
  <c r="O14" i="10"/>
  <c r="Q14" i="10" s="1"/>
  <c r="P14" i="10" s="1"/>
  <c r="O15" i="10"/>
  <c r="Q15" i="10" s="1"/>
  <c r="P15" i="10" s="1"/>
  <c r="O16" i="10"/>
  <c r="Q16" i="10" s="1"/>
  <c r="P16" i="10" s="1"/>
  <c r="O17" i="10"/>
  <c r="Q17" i="10" s="1"/>
  <c r="P17" i="10" s="1"/>
  <c r="O18" i="10"/>
  <c r="Q18" i="10" s="1"/>
  <c r="P18" i="10" s="1"/>
  <c r="O19" i="10"/>
  <c r="Q19" i="10" s="1"/>
  <c r="P19" i="10" s="1"/>
  <c r="O20" i="10"/>
  <c r="O21" i="10"/>
  <c r="O22" i="10"/>
  <c r="Q22" i="10" s="1"/>
  <c r="P22" i="10" s="1"/>
  <c r="O23" i="10"/>
  <c r="Q23" i="10" s="1"/>
  <c r="P23" i="10" s="1"/>
  <c r="O24" i="10"/>
  <c r="O25" i="10"/>
  <c r="O26" i="10"/>
  <c r="O27" i="10"/>
  <c r="O28" i="10"/>
  <c r="O29" i="10"/>
  <c r="O30" i="10"/>
  <c r="Q30" i="10" s="1"/>
  <c r="P30" i="10" s="1"/>
  <c r="O31" i="10"/>
  <c r="Q31" i="10" s="1"/>
  <c r="P31" i="10" s="1"/>
  <c r="O32" i="10"/>
  <c r="O33" i="10"/>
  <c r="O34" i="10"/>
  <c r="O35" i="10"/>
  <c r="O36" i="10"/>
  <c r="O37" i="10"/>
  <c r="O38" i="10"/>
  <c r="Q38" i="10" s="1"/>
  <c r="P38" i="10" s="1"/>
  <c r="O39" i="10"/>
  <c r="Q39" i="10" s="1"/>
  <c r="P39" i="10" s="1"/>
  <c r="O40" i="10"/>
  <c r="O41" i="10"/>
  <c r="O42" i="10"/>
  <c r="O43" i="10"/>
  <c r="Q43" i="10" s="1"/>
  <c r="P43" i="10" s="1"/>
  <c r="O44" i="10"/>
  <c r="O45" i="10"/>
  <c r="O46" i="10"/>
  <c r="Q46" i="10" s="1"/>
  <c r="P46" i="10" s="1"/>
  <c r="O47" i="10"/>
  <c r="Q47" i="10" s="1"/>
  <c r="P47" i="10" s="1"/>
  <c r="O48" i="10"/>
  <c r="O49" i="10"/>
  <c r="O50" i="10"/>
  <c r="O51" i="10"/>
  <c r="O52" i="10"/>
  <c r="O53" i="10"/>
  <c r="O54" i="10"/>
  <c r="Q54" i="10" s="1"/>
  <c r="P54" i="10" s="1"/>
  <c r="O55" i="10"/>
  <c r="Q55" i="10" s="1"/>
  <c r="P55" i="10" s="1"/>
  <c r="O56" i="10"/>
  <c r="O57" i="10"/>
  <c r="O58" i="10"/>
  <c r="O59" i="10"/>
  <c r="O60" i="10"/>
  <c r="O61" i="10"/>
  <c r="O62" i="10"/>
  <c r="Q62" i="10" s="1"/>
  <c r="P62" i="10" s="1"/>
  <c r="O63" i="10"/>
  <c r="Q63" i="10" s="1"/>
  <c r="P63" i="10" s="1"/>
  <c r="O64" i="10"/>
  <c r="O65" i="10"/>
  <c r="O66" i="10"/>
  <c r="O67" i="10"/>
  <c r="Q67" i="10" s="1"/>
  <c r="P67" i="10" s="1"/>
  <c r="O68" i="10"/>
  <c r="O69" i="10"/>
  <c r="O70" i="10"/>
  <c r="Q70" i="10" s="1"/>
  <c r="P70" i="10" s="1"/>
  <c r="O71" i="10"/>
  <c r="Q71" i="10" s="1"/>
  <c r="P71" i="10" s="1"/>
  <c r="O72" i="10"/>
  <c r="O73" i="10"/>
  <c r="O74" i="10"/>
  <c r="O75" i="10"/>
  <c r="O76" i="10"/>
  <c r="O77" i="10"/>
  <c r="O78" i="10"/>
  <c r="Q78" i="10" s="1"/>
  <c r="P78" i="10" s="1"/>
  <c r="O79" i="10"/>
  <c r="Q79" i="10" s="1"/>
  <c r="P79" i="10" s="1"/>
  <c r="O80" i="10"/>
  <c r="O81" i="10"/>
  <c r="O82" i="10"/>
  <c r="O83" i="10"/>
  <c r="O84" i="10"/>
  <c r="O85" i="10"/>
  <c r="O86" i="10"/>
  <c r="Q86" i="10" s="1"/>
  <c r="P86" i="10" s="1"/>
  <c r="O87" i="10"/>
  <c r="Q87" i="10" s="1"/>
  <c r="P87" i="10" s="1"/>
  <c r="O88" i="10"/>
  <c r="O89" i="10"/>
  <c r="O90" i="10"/>
  <c r="O91" i="10"/>
  <c r="Q91" i="10" s="1"/>
  <c r="P91" i="10" s="1"/>
  <c r="O92" i="10"/>
  <c r="O93" i="10"/>
  <c r="O94" i="10"/>
  <c r="Q94" i="10" s="1"/>
  <c r="P94" i="10" s="1"/>
  <c r="O95" i="10"/>
  <c r="Q95" i="10" s="1"/>
  <c r="P95" i="10" s="1"/>
  <c r="O96" i="10"/>
  <c r="O97" i="10"/>
  <c r="O98" i="10"/>
  <c r="O99" i="10"/>
  <c r="O100" i="10"/>
  <c r="O101" i="10"/>
  <c r="O102" i="10"/>
  <c r="Q102" i="10" s="1"/>
  <c r="P102" i="10" s="1"/>
  <c r="O103" i="10"/>
  <c r="Q103" i="10" s="1"/>
  <c r="P103" i="10" s="1"/>
  <c r="O104" i="10"/>
  <c r="O105" i="10"/>
  <c r="O106" i="10"/>
  <c r="O107" i="10"/>
  <c r="O108" i="10"/>
  <c r="O109" i="10"/>
  <c r="O110" i="10"/>
  <c r="Q110" i="10" s="1"/>
  <c r="P110" i="10" s="1"/>
  <c r="O111" i="10"/>
  <c r="Q111" i="10" s="1"/>
  <c r="P111" i="10" s="1"/>
  <c r="O112" i="10"/>
  <c r="O113" i="10"/>
  <c r="O114" i="10"/>
  <c r="O115" i="10"/>
  <c r="Q115" i="10" s="1"/>
  <c r="P115" i="10" s="1"/>
  <c r="O116" i="10"/>
  <c r="O117" i="10"/>
  <c r="O118" i="10"/>
  <c r="Q118" i="10" s="1"/>
  <c r="P118" i="10" s="1"/>
  <c r="O119" i="10"/>
  <c r="Q119" i="10" s="1"/>
  <c r="P119" i="10" s="1"/>
  <c r="O120" i="10"/>
  <c r="O121" i="10"/>
  <c r="O122" i="10"/>
  <c r="O123" i="10"/>
  <c r="O124" i="10"/>
  <c r="O125" i="10"/>
  <c r="O126" i="10"/>
  <c r="Q126" i="10" s="1"/>
  <c r="P126" i="10" s="1"/>
  <c r="O127" i="10"/>
  <c r="Q127" i="10" s="1"/>
  <c r="P127" i="10" s="1"/>
  <c r="O128" i="10"/>
  <c r="O129" i="10"/>
  <c r="O130" i="10"/>
  <c r="O131" i="10"/>
  <c r="O132" i="10"/>
  <c r="O133" i="10"/>
  <c r="O134" i="10"/>
  <c r="Q134" i="10" s="1"/>
  <c r="P134" i="10" s="1"/>
  <c r="O135" i="10"/>
  <c r="Q135" i="10" s="1"/>
  <c r="P135" i="10" s="1"/>
  <c r="O136" i="10"/>
  <c r="O137" i="10"/>
  <c r="O138" i="10"/>
  <c r="O139" i="10"/>
  <c r="Q139" i="10" s="1"/>
  <c r="P139" i="10" s="1"/>
  <c r="O140" i="10"/>
  <c r="O141" i="10"/>
  <c r="O142" i="10"/>
  <c r="Q142" i="10" s="1"/>
  <c r="P142" i="10" s="1"/>
  <c r="O143" i="10"/>
  <c r="Q143" i="10" s="1"/>
  <c r="P143" i="10" s="1"/>
  <c r="O144" i="10"/>
  <c r="O145" i="10"/>
  <c r="O146" i="10"/>
  <c r="O147" i="10"/>
  <c r="Q147" i="10" s="1"/>
  <c r="P147" i="10" s="1"/>
  <c r="O148" i="10"/>
  <c r="O149" i="10"/>
  <c r="O150" i="10"/>
  <c r="Q150" i="10" s="1"/>
  <c r="P150" i="10" s="1"/>
  <c r="O151" i="10"/>
  <c r="Q151" i="10" s="1"/>
  <c r="P151" i="10" s="1"/>
  <c r="O152" i="10"/>
  <c r="O153" i="10"/>
  <c r="O154" i="10"/>
  <c r="O155" i="10"/>
  <c r="O156" i="10"/>
  <c r="O157" i="10"/>
  <c r="O158" i="10"/>
  <c r="Q158" i="10" s="1"/>
  <c r="P158" i="10" s="1"/>
  <c r="O159" i="10"/>
  <c r="Q159" i="10" s="1"/>
  <c r="P159" i="10" s="1"/>
  <c r="O160" i="10"/>
  <c r="O161" i="10"/>
  <c r="O162" i="10"/>
  <c r="O163" i="10"/>
  <c r="Q163" i="10" s="1"/>
  <c r="P163" i="10" s="1"/>
  <c r="O164" i="10"/>
  <c r="O165" i="10"/>
  <c r="O166" i="10"/>
  <c r="Q166" i="10" s="1"/>
  <c r="P166" i="10" s="1"/>
  <c r="O167" i="10"/>
  <c r="Q167" i="10" s="1"/>
  <c r="P167" i="10" s="1"/>
  <c r="O168" i="10"/>
  <c r="O169" i="10"/>
  <c r="O170" i="10"/>
  <c r="O171" i="10"/>
  <c r="O172" i="10"/>
  <c r="O173" i="10"/>
  <c r="O174" i="10"/>
  <c r="Q174" i="10" s="1"/>
  <c r="P174" i="10" s="1"/>
  <c r="O175" i="10"/>
  <c r="Q175" i="10" s="1"/>
  <c r="P175" i="10" s="1"/>
  <c r="O176" i="10"/>
  <c r="O177" i="10"/>
  <c r="O178" i="10"/>
  <c r="O179" i="10"/>
  <c r="O180" i="10"/>
  <c r="O181" i="10"/>
  <c r="O182" i="10"/>
  <c r="Q182" i="10" s="1"/>
  <c r="P182" i="10" s="1"/>
  <c r="O183" i="10"/>
  <c r="Q183" i="10" s="1"/>
  <c r="P183" i="10" s="1"/>
  <c r="O184" i="10"/>
  <c r="O185" i="10"/>
  <c r="O186" i="10"/>
  <c r="O187" i="10"/>
  <c r="Q187" i="10" s="1"/>
  <c r="P187" i="10" s="1"/>
  <c r="O188" i="10"/>
  <c r="O189" i="10"/>
  <c r="O190" i="10"/>
  <c r="Q190" i="10" s="1"/>
  <c r="P190" i="10" s="1"/>
  <c r="O191" i="10"/>
  <c r="Q191" i="10" s="1"/>
  <c r="P191" i="10" s="1"/>
  <c r="O192" i="10"/>
  <c r="O193" i="10"/>
  <c r="O194" i="10"/>
  <c r="O195" i="10"/>
  <c r="Q195" i="10" s="1"/>
  <c r="P195" i="10" s="1"/>
  <c r="O196" i="10"/>
  <c r="O197" i="10"/>
  <c r="O198" i="10"/>
  <c r="Q198" i="10" s="1"/>
  <c r="P198" i="10" s="1"/>
  <c r="O199" i="10"/>
  <c r="Q199" i="10" s="1"/>
  <c r="P199" i="10" s="1"/>
  <c r="O200" i="10"/>
  <c r="O201" i="10"/>
  <c r="O202" i="10"/>
  <c r="O203" i="10"/>
  <c r="O204" i="10"/>
  <c r="O205" i="10"/>
  <c r="O206" i="10"/>
  <c r="Q206" i="10" s="1"/>
  <c r="P206" i="10" s="1"/>
  <c r="O207" i="10"/>
  <c r="Q207" i="10" s="1"/>
  <c r="P207" i="10" s="1"/>
  <c r="O208" i="10"/>
  <c r="O209" i="10"/>
  <c r="O210" i="10"/>
  <c r="O211" i="10"/>
  <c r="Q211" i="10" s="1"/>
  <c r="P211" i="10" s="1"/>
  <c r="O212" i="10"/>
  <c r="O213" i="10"/>
  <c r="O214" i="10"/>
  <c r="Q214" i="10" s="1"/>
  <c r="P214" i="10" s="1"/>
  <c r="O215" i="10"/>
  <c r="Q215" i="10" s="1"/>
  <c r="P215" i="10" s="1"/>
  <c r="O216" i="10"/>
  <c r="O217" i="10"/>
  <c r="O218" i="10"/>
  <c r="O219" i="10"/>
  <c r="O220" i="10"/>
  <c r="O221" i="10"/>
  <c r="O222" i="10"/>
  <c r="Q222" i="10" s="1"/>
  <c r="P222" i="10" s="1"/>
  <c r="O223" i="10"/>
  <c r="Q223" i="10" s="1"/>
  <c r="P223" i="10" s="1"/>
  <c r="O224" i="10"/>
  <c r="O225" i="10"/>
  <c r="O226" i="10"/>
  <c r="O227" i="10"/>
  <c r="O228" i="10"/>
  <c r="O229" i="10"/>
  <c r="O230" i="10"/>
  <c r="Q230" i="10" s="1"/>
  <c r="P230" i="10" s="1"/>
  <c r="O231" i="10"/>
  <c r="Q231" i="10" s="1"/>
  <c r="P231" i="10" s="1"/>
  <c r="O232" i="10"/>
  <c r="O233" i="10"/>
  <c r="O234" i="10"/>
  <c r="O235" i="10"/>
  <c r="Q235" i="10" s="1"/>
  <c r="P235" i="10" s="1"/>
  <c r="O236" i="10"/>
  <c r="O237" i="10"/>
  <c r="O238" i="10"/>
  <c r="Q238" i="10" s="1"/>
  <c r="P238" i="10" s="1"/>
  <c r="O239" i="10"/>
  <c r="Q239" i="10" s="1"/>
  <c r="P239" i="10" s="1"/>
  <c r="O240" i="10"/>
  <c r="O241" i="10"/>
  <c r="O242" i="10"/>
  <c r="O243" i="10"/>
  <c r="Q243" i="10" s="1"/>
  <c r="P243" i="10" s="1"/>
  <c r="O244" i="10"/>
  <c r="O245" i="10"/>
  <c r="O246" i="10"/>
  <c r="Q246" i="10" s="1"/>
  <c r="P246" i="10" s="1"/>
  <c r="O247" i="10"/>
  <c r="Q247" i="10" s="1"/>
  <c r="P247" i="10" s="1"/>
  <c r="O248" i="10"/>
  <c r="O249" i="10"/>
  <c r="O250" i="10"/>
  <c r="O251" i="10"/>
  <c r="O252" i="10"/>
  <c r="O253" i="10"/>
  <c r="O254" i="10"/>
  <c r="Q254" i="10" s="1"/>
  <c r="P254" i="10" s="1"/>
  <c r="O255" i="10"/>
  <c r="Q255" i="10" s="1"/>
  <c r="P255" i="10" s="1"/>
  <c r="O256" i="10"/>
  <c r="O257" i="10"/>
  <c r="O258" i="10"/>
  <c r="O259" i="10"/>
  <c r="Q259" i="10" s="1"/>
  <c r="P259" i="10" s="1"/>
  <c r="O260" i="10"/>
  <c r="O261" i="10"/>
  <c r="O262" i="10"/>
  <c r="Q262" i="10" s="1"/>
  <c r="P262" i="10" s="1"/>
  <c r="O263" i="10"/>
  <c r="Q263" i="10" s="1"/>
  <c r="P263" i="10" s="1"/>
  <c r="O264" i="10"/>
  <c r="O265" i="10"/>
  <c r="O266" i="10"/>
  <c r="O267" i="10"/>
  <c r="O268" i="10"/>
  <c r="O269" i="10"/>
  <c r="O270" i="10"/>
  <c r="Q270" i="10" s="1"/>
  <c r="P270" i="10" s="1"/>
  <c r="O271" i="10"/>
  <c r="Q271" i="10" s="1"/>
  <c r="P271" i="10" s="1"/>
  <c r="O272" i="10"/>
  <c r="O273" i="10"/>
  <c r="O274" i="10"/>
  <c r="Q8" i="10"/>
  <c r="P8" i="10" s="1"/>
  <c r="Q20" i="10"/>
  <c r="P20" i="10" s="1"/>
  <c r="Q21" i="10"/>
  <c r="P21" i="10" s="1"/>
  <c r="Q24" i="10"/>
  <c r="P24" i="10" s="1"/>
  <c r="Q25" i="10"/>
  <c r="P25" i="10" s="1"/>
  <c r="Q26" i="10"/>
  <c r="P26" i="10" s="1"/>
  <c r="Q27" i="10"/>
  <c r="P27" i="10" s="1"/>
  <c r="Q28" i="10"/>
  <c r="P28" i="10" s="1"/>
  <c r="Q29" i="10"/>
  <c r="P29" i="10" s="1"/>
  <c r="Q32" i="10"/>
  <c r="P32" i="10" s="1"/>
  <c r="Q33" i="10"/>
  <c r="P33" i="10" s="1"/>
  <c r="Q34" i="10"/>
  <c r="P34" i="10" s="1"/>
  <c r="Q35" i="10"/>
  <c r="P35" i="10" s="1"/>
  <c r="Q36" i="10"/>
  <c r="P36" i="10" s="1"/>
  <c r="Q37" i="10"/>
  <c r="P37" i="10" s="1"/>
  <c r="Q40" i="10"/>
  <c r="P40" i="10" s="1"/>
  <c r="Q41" i="10"/>
  <c r="P41" i="10" s="1"/>
  <c r="Q42" i="10"/>
  <c r="P42" i="10" s="1"/>
  <c r="Q44" i="10"/>
  <c r="P44" i="10" s="1"/>
  <c r="Q45" i="10"/>
  <c r="P45" i="10" s="1"/>
  <c r="Q48" i="10"/>
  <c r="P48" i="10" s="1"/>
  <c r="Q49" i="10"/>
  <c r="P49" i="10" s="1"/>
  <c r="Q50" i="10"/>
  <c r="P50" i="10" s="1"/>
  <c r="Q51" i="10"/>
  <c r="P51" i="10" s="1"/>
  <c r="Q52" i="10"/>
  <c r="P52" i="10" s="1"/>
  <c r="Q53" i="10"/>
  <c r="P53" i="10" s="1"/>
  <c r="Q56" i="10"/>
  <c r="P56" i="10" s="1"/>
  <c r="Q57" i="10"/>
  <c r="P57" i="10" s="1"/>
  <c r="Q58" i="10"/>
  <c r="P58" i="10" s="1"/>
  <c r="Q59" i="10"/>
  <c r="P59" i="10" s="1"/>
  <c r="Q60" i="10"/>
  <c r="P60" i="10" s="1"/>
  <c r="Q61" i="10"/>
  <c r="P61" i="10" s="1"/>
  <c r="Q64" i="10"/>
  <c r="P64" i="10" s="1"/>
  <c r="Q65" i="10"/>
  <c r="P65" i="10" s="1"/>
  <c r="Q66" i="10"/>
  <c r="P66" i="10" s="1"/>
  <c r="Q68" i="10"/>
  <c r="P68" i="10" s="1"/>
  <c r="Q69" i="10"/>
  <c r="P69" i="10" s="1"/>
  <c r="Q72" i="10"/>
  <c r="P72" i="10" s="1"/>
  <c r="Q73" i="10"/>
  <c r="P73" i="10" s="1"/>
  <c r="Q74" i="10"/>
  <c r="P74" i="10" s="1"/>
  <c r="Q75" i="10"/>
  <c r="P75" i="10" s="1"/>
  <c r="Q76" i="10"/>
  <c r="P76" i="10" s="1"/>
  <c r="Q77" i="10"/>
  <c r="P77" i="10" s="1"/>
  <c r="Q80" i="10"/>
  <c r="P80" i="10" s="1"/>
  <c r="Q81" i="10"/>
  <c r="P81" i="10" s="1"/>
  <c r="Q82" i="10"/>
  <c r="P82" i="10" s="1"/>
  <c r="Q83" i="10"/>
  <c r="P83" i="10" s="1"/>
  <c r="Q84" i="10"/>
  <c r="P84" i="10" s="1"/>
  <c r="Q85" i="10"/>
  <c r="P85" i="10" s="1"/>
  <c r="Q88" i="10"/>
  <c r="P88" i="10" s="1"/>
  <c r="Q89" i="10"/>
  <c r="P89" i="10" s="1"/>
  <c r="Q90" i="10"/>
  <c r="P90" i="10" s="1"/>
  <c r="Q92" i="10"/>
  <c r="P92" i="10" s="1"/>
  <c r="Q93" i="10"/>
  <c r="P93" i="10" s="1"/>
  <c r="Q96" i="10"/>
  <c r="P96" i="10" s="1"/>
  <c r="Q97" i="10"/>
  <c r="P97" i="10" s="1"/>
  <c r="Q98" i="10"/>
  <c r="P98" i="10" s="1"/>
  <c r="Q99" i="10"/>
  <c r="P99" i="10" s="1"/>
  <c r="Q100" i="10"/>
  <c r="P100" i="10" s="1"/>
  <c r="Q101" i="10"/>
  <c r="P101" i="10" s="1"/>
  <c r="Q104" i="10"/>
  <c r="P104" i="10" s="1"/>
  <c r="Q105" i="10"/>
  <c r="P105" i="10" s="1"/>
  <c r="Q106" i="10"/>
  <c r="P106" i="10" s="1"/>
  <c r="Q107" i="10"/>
  <c r="P107" i="10" s="1"/>
  <c r="Q108" i="10"/>
  <c r="P108" i="10" s="1"/>
  <c r="Q109" i="10"/>
  <c r="P109" i="10" s="1"/>
  <c r="Q112" i="10"/>
  <c r="P112" i="10" s="1"/>
  <c r="Q113" i="10"/>
  <c r="P113" i="10" s="1"/>
  <c r="Q114" i="10"/>
  <c r="P114" i="10" s="1"/>
  <c r="Q116" i="10"/>
  <c r="P116" i="10" s="1"/>
  <c r="Q117" i="10"/>
  <c r="P117" i="10" s="1"/>
  <c r="Q120" i="10"/>
  <c r="P120" i="10" s="1"/>
  <c r="Q121" i="10"/>
  <c r="P121" i="10" s="1"/>
  <c r="Q122" i="10"/>
  <c r="P122" i="10" s="1"/>
  <c r="Q123" i="10"/>
  <c r="P123" i="10" s="1"/>
  <c r="Q124" i="10"/>
  <c r="P124" i="10" s="1"/>
  <c r="Q125" i="10"/>
  <c r="P125" i="10" s="1"/>
  <c r="Q128" i="10"/>
  <c r="P128" i="10" s="1"/>
  <c r="Q129" i="10"/>
  <c r="P129" i="10" s="1"/>
  <c r="Q130" i="10"/>
  <c r="P130" i="10" s="1"/>
  <c r="Q131" i="10"/>
  <c r="P131" i="10" s="1"/>
  <c r="Q132" i="10"/>
  <c r="P132" i="10" s="1"/>
  <c r="Q133" i="10"/>
  <c r="P133" i="10" s="1"/>
  <c r="Q136" i="10"/>
  <c r="P136" i="10" s="1"/>
  <c r="Q137" i="10"/>
  <c r="P137" i="10" s="1"/>
  <c r="Q138" i="10"/>
  <c r="P138" i="10" s="1"/>
  <c r="Q140" i="10"/>
  <c r="P140" i="10" s="1"/>
  <c r="Q141" i="10"/>
  <c r="P141" i="10" s="1"/>
  <c r="Q144" i="10"/>
  <c r="P144" i="10" s="1"/>
  <c r="Q145" i="10"/>
  <c r="P145" i="10" s="1"/>
  <c r="Q146" i="10"/>
  <c r="P146" i="10" s="1"/>
  <c r="Q148" i="10"/>
  <c r="P148" i="10" s="1"/>
  <c r="Q149" i="10"/>
  <c r="P149" i="10" s="1"/>
  <c r="Q152" i="10"/>
  <c r="P152" i="10" s="1"/>
  <c r="Q153" i="10"/>
  <c r="P153" i="10" s="1"/>
  <c r="Q154" i="10"/>
  <c r="P154" i="10" s="1"/>
  <c r="Q155" i="10"/>
  <c r="P155" i="10" s="1"/>
  <c r="Q156" i="10"/>
  <c r="P156" i="10" s="1"/>
  <c r="Q157" i="10"/>
  <c r="P157" i="10" s="1"/>
  <c r="Q160" i="10"/>
  <c r="P160" i="10" s="1"/>
  <c r="Q161" i="10"/>
  <c r="P161" i="10" s="1"/>
  <c r="Q162" i="10"/>
  <c r="P162" i="10" s="1"/>
  <c r="Q164" i="10"/>
  <c r="P164" i="10" s="1"/>
  <c r="Q165" i="10"/>
  <c r="P165" i="10" s="1"/>
  <c r="Q168" i="10"/>
  <c r="P168" i="10" s="1"/>
  <c r="Q169" i="10"/>
  <c r="P169" i="10" s="1"/>
  <c r="Q170" i="10"/>
  <c r="P170" i="10" s="1"/>
  <c r="Q171" i="10"/>
  <c r="P171" i="10" s="1"/>
  <c r="Q172" i="10"/>
  <c r="P172" i="10" s="1"/>
  <c r="Q173" i="10"/>
  <c r="P173" i="10" s="1"/>
  <c r="Q176" i="10"/>
  <c r="P176" i="10" s="1"/>
  <c r="Q177" i="10"/>
  <c r="P177" i="10" s="1"/>
  <c r="Q178" i="10"/>
  <c r="P178" i="10" s="1"/>
  <c r="Q179" i="10"/>
  <c r="P179" i="10" s="1"/>
  <c r="Q180" i="10"/>
  <c r="P180" i="10" s="1"/>
  <c r="Q181" i="10"/>
  <c r="P181" i="10" s="1"/>
  <c r="Q184" i="10"/>
  <c r="P184" i="10" s="1"/>
  <c r="Q185" i="10"/>
  <c r="P185" i="10" s="1"/>
  <c r="Q186" i="10"/>
  <c r="P186" i="10" s="1"/>
  <c r="Q188" i="10"/>
  <c r="P188" i="10" s="1"/>
  <c r="Q189" i="10"/>
  <c r="P189" i="10" s="1"/>
  <c r="Q192" i="10"/>
  <c r="P192" i="10" s="1"/>
  <c r="Q193" i="10"/>
  <c r="P193" i="10" s="1"/>
  <c r="Q194" i="10"/>
  <c r="P194" i="10" s="1"/>
  <c r="Q196" i="10"/>
  <c r="P196" i="10" s="1"/>
  <c r="Q197" i="10"/>
  <c r="P197" i="10" s="1"/>
  <c r="Q200" i="10"/>
  <c r="P200" i="10" s="1"/>
  <c r="Q201" i="10"/>
  <c r="P201" i="10" s="1"/>
  <c r="Q202" i="10"/>
  <c r="P202" i="10" s="1"/>
  <c r="Q203" i="10"/>
  <c r="P203" i="10" s="1"/>
  <c r="Q204" i="10"/>
  <c r="P204" i="10" s="1"/>
  <c r="Q205" i="10"/>
  <c r="P205" i="10" s="1"/>
  <c r="Q208" i="10"/>
  <c r="P208" i="10" s="1"/>
  <c r="Q209" i="10"/>
  <c r="P209" i="10" s="1"/>
  <c r="Q210" i="10"/>
  <c r="P210" i="10" s="1"/>
  <c r="Q212" i="10"/>
  <c r="P212" i="10" s="1"/>
  <c r="Q213" i="10"/>
  <c r="P213" i="10" s="1"/>
  <c r="Q216" i="10"/>
  <c r="P216" i="10" s="1"/>
  <c r="Q217" i="10"/>
  <c r="P217" i="10" s="1"/>
  <c r="Q218" i="10"/>
  <c r="P218" i="10" s="1"/>
  <c r="Q219" i="10"/>
  <c r="P219" i="10" s="1"/>
  <c r="Q220" i="10"/>
  <c r="P220" i="10" s="1"/>
  <c r="Q221" i="10"/>
  <c r="P221" i="10" s="1"/>
  <c r="Q224" i="10"/>
  <c r="P224" i="10" s="1"/>
  <c r="Q225" i="10"/>
  <c r="P225" i="10" s="1"/>
  <c r="Q226" i="10"/>
  <c r="P226" i="10" s="1"/>
  <c r="Q227" i="10"/>
  <c r="P227" i="10" s="1"/>
  <c r="Q228" i="10"/>
  <c r="P228" i="10" s="1"/>
  <c r="Q229" i="10"/>
  <c r="P229" i="10" s="1"/>
  <c r="Q232" i="10"/>
  <c r="P232" i="10" s="1"/>
  <c r="Q233" i="10"/>
  <c r="P233" i="10" s="1"/>
  <c r="Q234" i="10"/>
  <c r="P234" i="10" s="1"/>
  <c r="Q236" i="10"/>
  <c r="P236" i="10" s="1"/>
  <c r="Q237" i="10"/>
  <c r="P237" i="10" s="1"/>
  <c r="Q240" i="10"/>
  <c r="P240" i="10" s="1"/>
  <c r="Q241" i="10"/>
  <c r="P241" i="10" s="1"/>
  <c r="Q242" i="10"/>
  <c r="P242" i="10" s="1"/>
  <c r="Q244" i="10"/>
  <c r="P244" i="10" s="1"/>
  <c r="Q245" i="10"/>
  <c r="P245" i="10" s="1"/>
  <c r="Q248" i="10"/>
  <c r="P248" i="10" s="1"/>
  <c r="Q249" i="10"/>
  <c r="P249" i="10" s="1"/>
  <c r="Q250" i="10"/>
  <c r="P250" i="10" s="1"/>
  <c r="Q251" i="10"/>
  <c r="P251" i="10" s="1"/>
  <c r="Q252" i="10"/>
  <c r="P252" i="10" s="1"/>
  <c r="Q253" i="10"/>
  <c r="P253" i="10" s="1"/>
  <c r="Q256" i="10"/>
  <c r="P256" i="10" s="1"/>
  <c r="Q257" i="10"/>
  <c r="P257" i="10" s="1"/>
  <c r="Q258" i="10"/>
  <c r="P258" i="10" s="1"/>
  <c r="Q260" i="10"/>
  <c r="P260" i="10" s="1"/>
  <c r="Q261" i="10"/>
  <c r="P261" i="10" s="1"/>
  <c r="Q264" i="10"/>
  <c r="P264" i="10" s="1"/>
  <c r="Q265" i="10"/>
  <c r="P265" i="10" s="1"/>
  <c r="Q266" i="10"/>
  <c r="P266" i="10" s="1"/>
  <c r="Q267" i="10"/>
  <c r="P267" i="10" s="1"/>
  <c r="Q268" i="10"/>
  <c r="P268" i="10" s="1"/>
  <c r="Q269" i="10"/>
  <c r="P269" i="10" s="1"/>
  <c r="Q272" i="10"/>
  <c r="P272" i="10" s="1"/>
  <c r="Q273" i="10"/>
  <c r="P273" i="10" s="1"/>
  <c r="Q274" i="10"/>
  <c r="P274" i="10" s="1"/>
  <c r="N3" i="10" l="1"/>
  <c r="M3" i="10"/>
  <c r="L3" i="10"/>
  <c r="K3" i="10"/>
  <c r="J3" i="10"/>
  <c r="I3" i="10"/>
  <c r="H3" i="10"/>
  <c r="O7" i="10" l="1"/>
  <c r="Q7" i="10" s="1"/>
  <c r="F118" i="3"/>
  <c r="F127" i="3"/>
  <c r="F325" i="3"/>
  <c r="F324" i="3"/>
  <c r="F157" i="3"/>
  <c r="F148" i="3"/>
  <c r="F139" i="3"/>
  <c r="F130" i="3"/>
  <c r="F121" i="3"/>
  <c r="F115" i="3"/>
  <c r="C11" i="10"/>
  <c r="F375" i="3"/>
  <c r="F442" i="3"/>
  <c r="F433" i="3"/>
  <c r="F424" i="3"/>
  <c r="F415" i="3"/>
  <c r="F392" i="3"/>
  <c r="F383" i="3"/>
  <c r="F374" i="3"/>
  <c r="F365" i="3"/>
  <c r="F351" i="3"/>
  <c r="F342" i="3"/>
  <c r="F333" i="3"/>
  <c r="F315" i="3"/>
  <c r="F274" i="3"/>
  <c r="F265" i="3"/>
  <c r="F256" i="3"/>
  <c r="F247" i="3"/>
  <c r="F238" i="3"/>
  <c r="F215" i="3"/>
  <c r="F206" i="3"/>
  <c r="F197" i="3"/>
  <c r="F188" i="3"/>
  <c r="F179" i="3"/>
  <c r="F156" i="3"/>
  <c r="F147" i="3"/>
  <c r="F138" i="3"/>
  <c r="F129" i="3"/>
  <c r="F120" i="3"/>
  <c r="F439" i="3"/>
  <c r="F438" i="3"/>
  <c r="F430" i="3"/>
  <c r="F429" i="3"/>
  <c r="F440" i="3"/>
  <c r="F437" i="3"/>
  <c r="F443" i="3"/>
  <c r="F349" i="3"/>
  <c r="F348" i="3"/>
  <c r="F347" i="3"/>
  <c r="F346" i="3"/>
  <c r="F352" i="3"/>
  <c r="E28" i="3"/>
  <c r="F28" i="3" s="1"/>
  <c r="F153" i="3"/>
  <c r="F152" i="3"/>
  <c r="H68" i="3"/>
  <c r="H45" i="3"/>
  <c r="H19" i="3"/>
  <c r="F154" i="3"/>
  <c r="F177" i="3"/>
  <c r="F431" i="3"/>
  <c r="F428" i="3"/>
  <c r="F151" i="3"/>
  <c r="F434" i="3"/>
  <c r="E76" i="3"/>
  <c r="F76" i="3" s="1"/>
  <c r="E94" i="3"/>
  <c r="F455" i="3"/>
  <c r="F425" i="3"/>
  <c r="F416" i="3"/>
  <c r="F366" i="3"/>
  <c r="F343" i="3"/>
  <c r="F316" i="3"/>
  <c r="F275" i="3"/>
  <c r="F266" i="3"/>
  <c r="F257" i="3"/>
  <c r="F248" i="3"/>
  <c r="F239" i="3"/>
  <c r="F236" i="3"/>
  <c r="F189" i="3"/>
  <c r="F180" i="3"/>
  <c r="F422" i="3"/>
  <c r="F413" i="3"/>
  <c r="F372" i="3"/>
  <c r="F363" i="3"/>
  <c r="F340" i="3"/>
  <c r="F322" i="3"/>
  <c r="F313" i="3"/>
  <c r="F272" i="3"/>
  <c r="F263" i="3"/>
  <c r="F254" i="3"/>
  <c r="F245" i="3"/>
  <c r="F186" i="3"/>
  <c r="F145" i="3"/>
  <c r="F321" i="3"/>
  <c r="F320" i="3"/>
  <c r="F393" i="3"/>
  <c r="F384" i="3"/>
  <c r="F334" i="3"/>
  <c r="B18" i="3"/>
  <c r="E107" i="3"/>
  <c r="E106" i="3"/>
  <c r="E105" i="3"/>
  <c r="E104" i="3"/>
  <c r="E103" i="3"/>
  <c r="E102" i="3"/>
  <c r="F452" i="3"/>
  <c r="F451" i="3"/>
  <c r="D9" i="10"/>
  <c r="D8" i="10"/>
  <c r="D7" i="10"/>
  <c r="D6" i="10"/>
  <c r="D5" i="10"/>
  <c r="D4" i="10"/>
  <c r="F421" i="3"/>
  <c r="F420" i="3"/>
  <c r="F419" i="3"/>
  <c r="F412" i="3"/>
  <c r="F411" i="3"/>
  <c r="F410" i="3"/>
  <c r="F390" i="3"/>
  <c r="F389" i="3"/>
  <c r="F388" i="3"/>
  <c r="F387" i="3"/>
  <c r="F380" i="3"/>
  <c r="F379" i="3"/>
  <c r="F378" i="3"/>
  <c r="F371" i="3"/>
  <c r="F370" i="3"/>
  <c r="F369" i="3"/>
  <c r="F362" i="3"/>
  <c r="F361" i="3"/>
  <c r="F360" i="3"/>
  <c r="F339" i="3"/>
  <c r="F338" i="3"/>
  <c r="F337" i="3"/>
  <c r="F381" i="3"/>
  <c r="F331" i="3"/>
  <c r="F329" i="3"/>
  <c r="F328" i="3"/>
  <c r="F330" i="3"/>
  <c r="F319" i="3"/>
  <c r="F312" i="3"/>
  <c r="F311" i="3"/>
  <c r="F310" i="3"/>
  <c r="F271" i="3"/>
  <c r="F270" i="3"/>
  <c r="F269" i="3"/>
  <c r="F262" i="3"/>
  <c r="F261" i="3"/>
  <c r="F260" i="3"/>
  <c r="F253" i="3"/>
  <c r="F252" i="3"/>
  <c r="F251" i="3"/>
  <c r="F244" i="3"/>
  <c r="F243" i="3"/>
  <c r="F242" i="3"/>
  <c r="F235" i="3"/>
  <c r="F234" i="3"/>
  <c r="F233" i="3"/>
  <c r="F213" i="3"/>
  <c r="F204" i="3"/>
  <c r="F136" i="3"/>
  <c r="F195" i="3"/>
  <c r="F207" i="3"/>
  <c r="F216" i="3"/>
  <c r="F198" i="3"/>
  <c r="F212" i="3"/>
  <c r="F211" i="3"/>
  <c r="F210" i="3"/>
  <c r="F203" i="3"/>
  <c r="F202" i="3"/>
  <c r="F201" i="3"/>
  <c r="F194" i="3"/>
  <c r="F193" i="3"/>
  <c r="F192" i="3"/>
  <c r="F185" i="3"/>
  <c r="F184" i="3"/>
  <c r="F183" i="3"/>
  <c r="F176" i="3"/>
  <c r="F175" i="3"/>
  <c r="F174" i="3"/>
  <c r="F144" i="3"/>
  <c r="F143" i="3"/>
  <c r="F142" i="3"/>
  <c r="F135" i="3"/>
  <c r="F134" i="3"/>
  <c r="F133" i="3"/>
  <c r="F126" i="3"/>
  <c r="F125" i="3"/>
  <c r="F124" i="3"/>
  <c r="F117" i="3"/>
  <c r="F116" i="3"/>
  <c r="E77" i="3" l="1"/>
  <c r="E64" i="3"/>
  <c r="E29" i="3"/>
  <c r="E87" i="3"/>
  <c r="E53" i="3"/>
  <c r="E41" i="3"/>
  <c r="P7" i="10"/>
  <c r="F228" i="3"/>
  <c r="F305" i="3"/>
  <c r="F446" i="3"/>
  <c r="F373" i="3"/>
  <c r="E72" i="3" s="1"/>
  <c r="F72" i="3" s="1"/>
  <c r="F355" i="3"/>
  <c r="F187" i="3"/>
  <c r="E37" i="3" s="1"/>
  <c r="F37" i="3" s="1"/>
  <c r="F128" i="3"/>
  <c r="E24" i="3" s="1"/>
  <c r="F24" i="3" s="1"/>
  <c r="F441" i="3"/>
  <c r="E86" i="3" s="1"/>
  <c r="F86" i="3" s="1"/>
  <c r="F137" i="3"/>
  <c r="E25" i="3" s="1"/>
  <c r="F25" i="3" s="1"/>
  <c r="F423" i="3"/>
  <c r="E84" i="3" s="1"/>
  <c r="F84" i="3" s="1"/>
  <c r="F169" i="3"/>
  <c r="F205" i="3"/>
  <c r="E39" i="3" s="1"/>
  <c r="F39" i="3" s="1"/>
  <c r="F264" i="3"/>
  <c r="E51" i="3" s="1"/>
  <c r="F51" i="3" s="1"/>
  <c r="F414" i="3"/>
  <c r="E83" i="3" s="1"/>
  <c r="F83" i="3" s="1"/>
  <c r="F155" i="3"/>
  <c r="E27" i="3" s="1"/>
  <c r="F27" i="3" s="1"/>
  <c r="F146" i="3"/>
  <c r="E26" i="3" s="1"/>
  <c r="F26" i="3" s="1"/>
  <c r="F314" i="3"/>
  <c r="E59" i="3" s="1"/>
  <c r="F59" i="3" s="1"/>
  <c r="F273" i="3"/>
  <c r="E52" i="3" s="1"/>
  <c r="F52" i="3" s="1"/>
  <c r="F214" i="3"/>
  <c r="E40" i="3" s="1"/>
  <c r="F40" i="3" s="1"/>
  <c r="F119" i="3"/>
  <c r="F323" i="3"/>
  <c r="E60" i="3" s="1"/>
  <c r="F60" i="3" s="1"/>
  <c r="F178" i="3"/>
  <c r="F237" i="3"/>
  <c r="E48" i="3" s="1"/>
  <c r="F196" i="3"/>
  <c r="E38" i="3" s="1"/>
  <c r="F38" i="3" s="1"/>
  <c r="F246" i="3"/>
  <c r="E49" i="3" s="1"/>
  <c r="F49" i="3" s="1"/>
  <c r="F350" i="3"/>
  <c r="E63" i="3" s="1"/>
  <c r="F63" i="3" s="1"/>
  <c r="F432" i="3"/>
  <c r="E85" i="3" s="1"/>
  <c r="F85" i="3" s="1"/>
  <c r="F405" i="3"/>
  <c r="F382" i="3"/>
  <c r="E73" i="3" s="1"/>
  <c r="F73" i="3" s="1"/>
  <c r="F391" i="3"/>
  <c r="E75" i="3" s="1"/>
  <c r="F75" i="3" s="1"/>
  <c r="F364" i="3"/>
  <c r="E71" i="3" s="1"/>
  <c r="F71" i="3" s="1"/>
  <c r="F332" i="3"/>
  <c r="E61" i="3" s="1"/>
  <c r="F61" i="3" s="1"/>
  <c r="F341" i="3"/>
  <c r="E62" i="3" s="1"/>
  <c r="F62" i="3" s="1"/>
  <c r="F255" i="3"/>
  <c r="E50" i="3" s="1"/>
  <c r="F50" i="3" s="1"/>
  <c r="G108" i="3"/>
  <c r="F93" i="3"/>
  <c r="F108" i="3"/>
  <c r="S6" i="10" l="1"/>
  <c r="R6" i="10"/>
  <c r="F168" i="3"/>
  <c r="E23" i="3"/>
  <c r="F23" i="3" s="1"/>
  <c r="F445" i="3"/>
  <c r="E74" i="3"/>
  <c r="F74" i="3" s="1"/>
  <c r="E89" i="3"/>
  <c r="F107" i="3" s="1"/>
  <c r="G107" i="3" s="1"/>
  <c r="E66" i="3"/>
  <c r="F105" i="3" s="1"/>
  <c r="G105" i="3" s="1"/>
  <c r="F354" i="3"/>
  <c r="E55" i="3"/>
  <c r="F104" i="3" s="1"/>
  <c r="G104" i="3" s="1"/>
  <c r="F227" i="3"/>
  <c r="F404" i="3"/>
  <c r="F304" i="3"/>
  <c r="F48" i="3"/>
  <c r="E35" i="3"/>
  <c r="E43" i="3" s="1"/>
  <c r="F103" i="3" s="1"/>
  <c r="G103" i="3" s="1"/>
  <c r="E31" i="3" l="1"/>
  <c r="F102" i="3" s="1"/>
  <c r="G102" i="3" s="1"/>
  <c r="T6" i="10"/>
  <c r="F35" i="3"/>
  <c r="E79" i="3"/>
  <c r="F106" i="3" s="1"/>
  <c r="G106" i="3" s="1"/>
  <c r="D29" i="10" l="1"/>
  <c r="P3" i="10"/>
  <c r="C29" i="2" s="1"/>
  <c r="D28" i="10"/>
  <c r="C30" i="2" l="1"/>
</calcChain>
</file>

<file path=xl/sharedStrings.xml><?xml version="1.0" encoding="utf-8"?>
<sst xmlns="http://schemas.openxmlformats.org/spreadsheetml/2006/main" count="581" uniqueCount="225">
  <si>
    <t>CA Performance Appraisal 2023</t>
  </si>
  <si>
    <t>Version - March 2023</t>
  </si>
  <si>
    <t>Project Information</t>
  </si>
  <si>
    <t>Project Description</t>
  </si>
  <si>
    <t>Agreement Number</t>
  </si>
  <si>
    <t>MTO Contract Services Administrator</t>
  </si>
  <si>
    <t>MTO Area Manager, Construction</t>
  </si>
  <si>
    <t>MTO Region</t>
  </si>
  <si>
    <t>Category Weights</t>
  </si>
  <si>
    <t>Contract Administration Details</t>
  </si>
  <si>
    <t>Monthly Evaluations</t>
  </si>
  <si>
    <t>Description of Services</t>
  </si>
  <si>
    <t>Year:</t>
  </si>
  <si>
    <t>Month:</t>
  </si>
  <si>
    <t>January</t>
  </si>
  <si>
    <t>Prime Consultant(s)</t>
  </si>
  <si>
    <t>Consultant Contact Email Address</t>
  </si>
  <si>
    <t>Consultant Project Manager</t>
  </si>
  <si>
    <t>Export File</t>
  </si>
  <si>
    <t>Consultant Contract Administrator</t>
  </si>
  <si>
    <t>Assignment End Date</t>
  </si>
  <si>
    <t>Assignment Complexity</t>
  </si>
  <si>
    <t>Description of Construction Contract</t>
  </si>
  <si>
    <t>Construction Contract Number</t>
  </si>
  <si>
    <t xml:space="preserve">General Construction Contractor </t>
  </si>
  <si>
    <t>Construction Value</t>
  </si>
  <si>
    <t>Construction Contract Description (Example: New Construction / Resurfacing / Structural etc.)</t>
  </si>
  <si>
    <t>Ranking</t>
  </si>
  <si>
    <t>Report Submission Type</t>
  </si>
  <si>
    <t>Score</t>
  </si>
  <si>
    <t>Please note that the Report Type is for organizational purposes only, and does not impact scoring</t>
  </si>
  <si>
    <t>`</t>
  </si>
  <si>
    <t>Category 1</t>
  </si>
  <si>
    <t>Category 2</t>
  </si>
  <si>
    <t>Category 3</t>
  </si>
  <si>
    <t>Category 4</t>
  </si>
  <si>
    <t>Category 5</t>
  </si>
  <si>
    <t>Category 6</t>
  </si>
  <si>
    <t>Category 7</t>
  </si>
  <si>
    <t>Final Score</t>
  </si>
  <si>
    <t>Contract Length</t>
  </si>
  <si>
    <t>Adjustment Factor</t>
  </si>
  <si>
    <t>FINAL SCORE</t>
  </si>
  <si>
    <t>#</t>
  </si>
  <si>
    <t>Monthly Category Scores</t>
  </si>
  <si>
    <t>Monthly Score</t>
  </si>
  <si>
    <t>Total</t>
  </si>
  <si>
    <t>Ranking Checkbox</t>
  </si>
  <si>
    <t>Monthly</t>
  </si>
  <si>
    <t>Interim</t>
  </si>
  <si>
    <t>Final</t>
  </si>
  <si>
    <t>NOT IN USE</t>
  </si>
  <si>
    <t>Application Type:</t>
  </si>
  <si>
    <t>RFP</t>
  </si>
  <si>
    <t>RFQ</t>
  </si>
  <si>
    <t>RR</t>
  </si>
  <si>
    <t>Retainer</t>
  </si>
  <si>
    <t>Single Source</t>
  </si>
  <si>
    <t>Sole Source</t>
  </si>
  <si>
    <t>IF Category N/A</t>
  </si>
  <si>
    <t># of N/A Categories</t>
  </si>
  <si>
    <t>New Value</t>
  </si>
  <si>
    <t>Transfer</t>
  </si>
  <si>
    <t>Category 1 - Project Management</t>
  </si>
  <si>
    <t>Activity Description Measurement</t>
  </si>
  <si>
    <t>MTO Comments - Required for all 'Exceed' and          'Did not meet' ratings</t>
  </si>
  <si>
    <t>CA Comments</t>
  </si>
  <si>
    <t xml:space="preserve">Deployed knowledgeable staff and assigned resources, including specialists, to meet the CCA requirements (includes CAITM, Contract Documents, WBCMS, and MTO policies and directives). Service Provider ensured availability and number of required staff for the duration of the assignment. 	</t>
  </si>
  <si>
    <t xml:space="preserve">Provided appropriate written alternatives, recommendations, and solutions (based on factual information, analysis, and all contract documents) when dealing with assignment and construction contract-related issues. </t>
  </si>
  <si>
    <t>Performed a comprehensive review of Contract Documents for the purpose of identifying errors and omissions and advised MTO. Reviews the Contract Documents to verify the Contractor is complying with all contract specification requirements. Ensures the quality of Contract Administration Assignment deliverables prior to MTO submission, including but not limited to invoices, meeting minutes, status reports, and compensation request review reports.</t>
  </si>
  <si>
    <t>Contractor submissions were evaluated, and appropriate action was taken within the timelines as defined by CCA requirements.</t>
  </si>
  <si>
    <t xml:space="preserve">Demonstrated project management skills in scheduling and budget reviews, negotiations, communications, technical knowledge, and analytical skills required to oversee the Contract and maintain effective relationships with Ministry staff and all stakeholders </t>
  </si>
  <si>
    <t>CATEGORY RATING</t>
  </si>
  <si>
    <t>Category 1 Weight</t>
  </si>
  <si>
    <t>Rating</t>
  </si>
  <si>
    <t>Category 2: Contractor Payment and Change Management</t>
  </si>
  <si>
    <t>Accurately forecasted fiscal year and total project expenditures monthly and initiated requests for funding adjustments, for both the construction contract and CCA Agreement, upon becoming aware of the need. Confirmed item postings and reconciliation processes are complete; quantified and documented item adjustments accordingly and ensured OPAs are justified properly; reviewed CO payments for accuracy; reviewed and confirmed the Contractor's invoices as per CAITM requirements, prior to submitting to MTO.</t>
  </si>
  <si>
    <t>Reviewed and prepared detailed justification demonstrating the requirement for CO(s); generated an independent detailed CO estimate to obtain required DOA prior to starting the extra work; assessed impacts to the Contract requirements (i.e., EOT); ensured negotiation is completed within timelines outlined in the G.C.’s and the CO Manual; checked all aspects of the process for completeness.</t>
  </si>
  <si>
    <t>Reviewed Change Proposals and ensured completeness of submissions. Provide a detailed and prompt recommendation and analysis of the Change Proposal relating to cost and/or time savings and ensuring timelines are met.</t>
  </si>
  <si>
    <t xml:space="preserve">Ensured Contractor's Compensation Request(s) submission is in conformance with the requirements and timelines for resolution are met. Provided accurate and detailed information in the Compensation Request Review Report and/or EOT to substantiate their recommendation. Consulted with the Ministry with respect to the recommendations. </t>
  </si>
  <si>
    <t>Ensured Dispute Resolution submissions are complete and the process is followed within timelines. Provided any additional documentation/support as required. Participated in the review process with the ministry to establish a formal response.</t>
  </si>
  <si>
    <t>Category 2 Weight</t>
  </si>
  <si>
    <t xml:space="preserve">Category 3 -  Quality Process Management </t>
  </si>
  <si>
    <t>Monitored the Contractor’s operations as per inspection levels identified in the CCA Agreement to confirm contract requirements are met and the quality of the work is in accordance with MTO specifications, standards, drawings, policies, and procedures.</t>
  </si>
  <si>
    <t xml:space="preserve">Received, confirmed, and verified that the Contractor Quality Control requirements were met and followed related contractual requirements and MTO Policies including but not limited to submission of a non-conformance report.  Reviewed non-conformances to confirm contractor submissions are complete and meet contractual requirements. Ensured corrective actions are adequate for incidents and deviations. 
Accurately assessed the non-conformance as either an incident or a deviation and accurately assessed the classification of the deviation (major or minor or no deviation).  CCA ensured that MTO CSA and Quality Assurance sections are kept apprised of any quality issues. </t>
  </si>
  <si>
    <t>Verified all samples met the requirements of the Contract Documents. All samples were delivered in accordance with the Contract Documents and Agreement. All sample data and relevant information to facilitate testing and review of results were properly documented/recorded. Carried out all QA field testing in accordance with the CCA Agreement and contract documents.</t>
  </si>
  <si>
    <t xml:space="preserve">Reviewed QC/QA test results and determined if materials met Contract Document requirements, and completed the reporting process protocol in accordance with the CCA Agreement. </t>
  </si>
  <si>
    <t xml:space="preserve">CA reviewed records and/or reports produced by any Specialist engaged in the inspection/verification of the work. CA confirmed that the frequency of site review, reports, and deliverables produced by any specialist met the requirements of the contract documents, CCA Agreement, and other pertinent documentation. A review of Specialist deliverables was used to confirm any further action regarding the quality of work. </t>
  </si>
  <si>
    <t>Category 3 Weight</t>
  </si>
  <si>
    <t>Category 4 - Communications Management</t>
  </si>
  <si>
    <t xml:space="preserve">Provided required and appropriate notices to project external stakeholders such as property owners, businesses, and other regulatory agencies and maintained appropriate relationships with stakeholders.  Provided accurate and timely Regional Roads Reports. </t>
  </si>
  <si>
    <t xml:space="preserve">Issued notices to Contractor to communicate and document concerns; clarified requirements of the Contract and transmitted documentation. </t>
  </si>
  <si>
    <t xml:space="preserve">Followed the MTO’s Procedures for Processing the Contractor’s Infraction Report. </t>
  </si>
  <si>
    <t xml:space="preserve">Communicated issues, notified, and provided recommendations to MTO. </t>
  </si>
  <si>
    <t xml:space="preserve">Prepared/reviewed and provided comments for accurate Meeting Minutes. </t>
  </si>
  <si>
    <t>Category 4 Weight</t>
  </si>
  <si>
    <t>Category 5 - Management of Deliverables</t>
  </si>
  <si>
    <t>Provided and maintained accurate documentation of all Contract activities in accordance with the current policies and procedures. Diaries were completed and submitted daily within the required platform with all required information according to the current policies and procedure, including supporting photos.</t>
  </si>
  <si>
    <t>Prepared and submitted progress and/or final Contractor performance assessments (Form B’s) to MTO in accordance with the latest approved guidelines, and included supporting documentation and references. Completed the subsequent Contractor Performance Rating. Submissions were accurate and complete. Monthly summaries were completed and discussed at meetings.</t>
  </si>
  <si>
    <t>Completed the Contract Closing Process including the Contract Closing Checklist, the Final Record Documents Checklist, Project Construction Report noting and documenting details through the duration of the assignment.  The final report was complete and accurate and met all timeline requirements.
                                                      ***ACTIVITY OCCURS ONCE***</t>
  </si>
  <si>
    <t>Prepared and submitted Status Reports, Expenditure Forecasts, and Contractor QC Compliance monitoring reports with or in advance of invoices. Reports were complete and accurate.</t>
  </si>
  <si>
    <t>VALUE ADDED</t>
  </si>
  <si>
    <t>Category 5 Weight</t>
  </si>
  <si>
    <t>Category 6 - Traffic and Environmental Issues Management</t>
  </si>
  <si>
    <t>Received, assessed, and enforced compliance with the Contract environmental submission requirements and with the project-specific environmental assessment process, project environmental measures, including management of excess materials. Followed the CA Agreement requirements (including issuing the “MTO Class EA Process Monitoring Questionnaire).  Checked that these requirements continued to be enforced on a regular basis and deliverables were submitted within specified timelines.</t>
  </si>
  <si>
    <t>Monitored the contractor’s operations for compliance with the contract environmental requirements and with the project-specific environmental assessment process, project environmental measures, including management of excess materials.  Ensured that the environmental diary is completed as per the CCA Agreement and that all documentation is clear, accurate, complete, and reflective of the work undertaken.</t>
  </si>
  <si>
    <t xml:space="preserve">Assessed traffic protection plan for compliance including any project-specific Traffic Protection requirements.  Ensured compliance with the plan. </t>
  </si>
  <si>
    <t xml:space="preserve">Monitored the traffic control measures implemented by the contractor to ensure that they are consistent with the Traffic Control Plan and that they provide safety for workers and motorists. Notified the contractor of any deficiencies and ensured corrective measures were taken. Assessed compliance of the Contractor’s Traffic Control Plan and Diary with Contract requirements, such as contract staging, signing, Protection of Public Traffic (100F08), and Ontario Traffic Manuals.  Ensured that the traffic protection diary is completed as per the CCA Agreement and that all documentation is clear, accurate, complete, and reflective of the work undertaken.  </t>
  </si>
  <si>
    <t>Category 6 Weight</t>
  </si>
  <si>
    <t>Category 7 - Health and Safety</t>
  </si>
  <si>
    <t>MTO Comments - Required for all 'Fail' ratings</t>
  </si>
  <si>
    <t>• Follows Health and Safety plans in accordance to Occupational Health and Safety Act as specified in the CA Agreement.
• If MOL order is issued to related CA Services on Contract.  
• If an Infraction is issued related to Health and Safety.
• Meets rules and regulations related to work with railway authorities when required by project.</t>
  </si>
  <si>
    <t>SIGNATURES:</t>
  </si>
  <si>
    <t>CSA:….........................................................................................................</t>
  </si>
  <si>
    <t>Project Manager:….................................................................................................................</t>
  </si>
  <si>
    <t>FINAL SCORE - SUMPRODUCT TABLE</t>
  </si>
  <si>
    <t>Weight</t>
  </si>
  <si>
    <t>-</t>
  </si>
  <si>
    <t>Question #</t>
  </si>
  <si>
    <t>RADIO BUTTON CONTROL SOURCE</t>
  </si>
  <si>
    <t>C711</t>
  </si>
  <si>
    <t>CATEGORY 1</t>
  </si>
  <si>
    <t>Q1</t>
  </si>
  <si>
    <t>Exceeded CCAA requirements</t>
  </si>
  <si>
    <t>Substantially met CCAA requirements</t>
  </si>
  <si>
    <t>Did not meet CCAA req.</t>
  </si>
  <si>
    <t>N/A</t>
  </si>
  <si>
    <t>Score:</t>
  </si>
  <si>
    <t>Maximum Score:</t>
  </si>
  <si>
    <t>Completion Status:</t>
  </si>
  <si>
    <t>Q2</t>
  </si>
  <si>
    <t>Q3</t>
  </si>
  <si>
    <t>Q4</t>
  </si>
  <si>
    <t>Q5</t>
  </si>
  <si>
    <t>Yes</t>
  </si>
  <si>
    <t>No</t>
  </si>
  <si>
    <t>Q6</t>
  </si>
  <si>
    <t>IF(C_161=TRUE,5,0)</t>
  </si>
  <si>
    <t>IF(C_162=TRUE,3,0)</t>
  </si>
  <si>
    <t>IF(C_163=TRUE,1,0)</t>
  </si>
  <si>
    <t>IF(C_164=TRUE,"N/A",0)</t>
  </si>
  <si>
    <t>IF(COUNTIF(K184:K187,FALSE)=4,"No Rating Selected",IF(L187="N/A","N/A",SUM(L184:L186)))</t>
  </si>
  <si>
    <t>IF(C_164=TRUE,0,5)</t>
  </si>
  <si>
    <t>IF(COUNTIF(K184:K187,TRUE)=1,TRUE,FALSE)</t>
  </si>
  <si>
    <t>Category 1 Completion Status</t>
  </si>
  <si>
    <t>Maximum Score per Category</t>
  </si>
  <si>
    <t>CATEGORY 2</t>
  </si>
  <si>
    <t>IF(C_261=TRUE,5,0)</t>
  </si>
  <si>
    <t>IF(C_262=TRUE,3,0)</t>
  </si>
  <si>
    <t>IF(C_263=TRUE,1,0)</t>
  </si>
  <si>
    <t>IF(C_264=TRUE,"N/A",0)</t>
  </si>
  <si>
    <t>IF(COUNTIF(K243:K246,FALSE)=4,"No Rating Selected",IF(L246="N/A","N/A",SUM(L243:L245)))</t>
  </si>
  <si>
    <t>IF(C_264=TRUE,0,5)</t>
  </si>
  <si>
    <t>IF(COUNTIF(K243:K246,TRUE)=1,TRUE,FALSE)</t>
  </si>
  <si>
    <t>Category 2 Completion Status</t>
  </si>
  <si>
    <t>CATEGORY 3</t>
  </si>
  <si>
    <t>IF(C_361=TRUE,5,0)</t>
  </si>
  <si>
    <t>IF(C_362=TRUE,3,0)</t>
  </si>
  <si>
    <t>IF(C_363=TRUE,1,0)</t>
  </si>
  <si>
    <t>IF(C_364=TRUE,"N/A",0)</t>
  </si>
  <si>
    <t>IF(COUNTIF(K302:K305,FALSE)=4,"No Rating Selected",IF(L305="N/A","N/A",SUM(L302:L304)))</t>
  </si>
  <si>
    <t>IF(C_364=TRUE,0,5)</t>
  </si>
  <si>
    <t>IF(COUNTIF(K302:K305,TRUE)=1,TRUE,FALSE)</t>
  </si>
  <si>
    <t>Q7</t>
  </si>
  <si>
    <t>IF(C_371=TRUE,5,0)</t>
  </si>
  <si>
    <t>IF(C_372=TRUE,3,0)</t>
  </si>
  <si>
    <t>IF(C_373=TRUE,1,0)</t>
  </si>
  <si>
    <t>IF(C_374=TRUE,"N/A",0)</t>
  </si>
  <si>
    <t>IF(COUNTIF(K311:K314,FALSE)=4,"No Rating Selected",IF(L314="N/A","N/A",SUM(L311:L313)))</t>
  </si>
  <si>
    <t>IF(C_374=TRUE,0,5)</t>
  </si>
  <si>
    <t>IF(COUNTIF(K311:K314,TRUE)=1,TRUE,FALSE)</t>
  </si>
  <si>
    <t>Q8</t>
  </si>
  <si>
    <t>IF(C_381=TRUE,5,0)</t>
  </si>
  <si>
    <t>IF(C_382=TRUE,3,0)</t>
  </si>
  <si>
    <t>IF(C_383=TRUE,1,0)</t>
  </si>
  <si>
    <t>IF(C_384=TRUE,"N/A",0)</t>
  </si>
  <si>
    <t>IF(COUNTIF(K320:K323,FALSE)=4,"No Rating Selected",IF(L323="N/A","N/A",SUM(L320:L322)))</t>
  </si>
  <si>
    <t>IF(C_384=TRUE,0,5)</t>
  </si>
  <si>
    <t>IF(COUNTIF(K320:K323,TRUE)=1,TRUE,FALSE)</t>
  </si>
  <si>
    <t>Category 3 Completion Status</t>
  </si>
  <si>
    <t>CATEGORY 4</t>
  </si>
  <si>
    <t>Category 4 Completion Status</t>
  </si>
  <si>
    <t>CATEGORY 5</t>
  </si>
  <si>
    <t>IF(C_551=TRUE,5,0)</t>
  </si>
  <si>
    <t>IF(C_552=TRUE,3,0)</t>
  </si>
  <si>
    <t>IF(C_553=TRUE,1,0)</t>
  </si>
  <si>
    <t>IF(C_554=TRUE,"N/A",0)</t>
  </si>
  <si>
    <t>IF(COUNTIF(K420:K423,FALSE)=4,"No Rating Selected",IF(L423="N/A","N/A",SUM(L420:L422)))</t>
  </si>
  <si>
    <t>IF(C_554=TRUE,0,5)</t>
  </si>
  <si>
    <t>IF(COUNTIF(K420:K423,TRUE)=1,TRUE,FALSE)</t>
  </si>
  <si>
    <t>Category 5 Completion Status</t>
  </si>
  <si>
    <t>CATEGORY 6</t>
  </si>
  <si>
    <t>Category 6 Completion Status</t>
  </si>
  <si>
    <t>CATEGORY 7</t>
  </si>
  <si>
    <t>Pass</t>
  </si>
  <si>
    <t>Fail</t>
  </si>
  <si>
    <t>Category 7 Completion Status</t>
  </si>
  <si>
    <t xml:space="preserve">Higher-level qualified personnel than was required. The service provider engaged specialists to ensure conformance at no additional cost to the Ministry. Proactively reviewed contractor's operations and supplied knowledgeable/ qualified staff to support additional operations at agreement pricing. Consistently adheres to QC plan, provides timely Milestone Quality Report(s), and quickly actions corrective measures (where required). </t>
  </si>
  <si>
    <t>Proactively provided recommendations that resulted in benefits to the Ministry including increased safety, durability/quality, and cost savings. Consistently resolves issues/provides quality deliverables in advance of required timelines (i.e. Compensation Requests, Information Requests, Change Orders, etc.) resulting in reduction or avoidance of delays and/or cost savings.</t>
  </si>
  <si>
    <t>Proactively identified design/constructability errors/issues and provided extensive knowledge of policies, procedures, and directives that reduced impacts to the project (safety, environmental, quality, change orders, claims, delays). Consistantly provides high quality deliveriables, that require minimial revisions and/or changes by the Ministry.</t>
  </si>
  <si>
    <t xml:space="preserve">Comprehensively assessed the contractor’s effectiveness and potential schedule impacts. Took positive action that reduces impacts to schedule and/or improves end-product quality. Proactively identified design/constructability errors and issues on Contractor submissions. Provided alternatives and recommendations founded on experience and knowledge that provide benefit to the Ministry.   </t>
  </si>
  <si>
    <t xml:space="preserve">Kept the Ministry informed of key issues (time-sensitive, contentious, quality, safety, environmental, cost, schedule) by e-mail and verbal communications, with proactive and timely information providing the opportunity for MTO consultation and feedback and avoiding delays.  </t>
  </si>
  <si>
    <t>Independently prepared the monthly payments and Expenditure Forecast with accurate supporting documentation maintained on file. Proactively initiates requests for funding adjustments immediately upon becoming aware of the need. Confirm and process: advance material payments; hold back releases; setoffs; LD calculations; Substantial Performance Application as per General Conditions with accurate documentation on file and no ministry direction required.</t>
  </si>
  <si>
    <t>Ensures value for money. Provides a thorough review of Contractor's estimate and identifies potential cost savings/value added opportunities. Effectively and professionally represented the ministry during negotiations. Consistently achieves DOA approval prior to starting the Work. Reduced timelines minimized / avoided contract delays.</t>
  </si>
  <si>
    <t>Independently provided detailed justification including a well-supported recommendation for CP. Utilized knowledge and experience to identify potential challenges, impacts, and alternate approaches in order to negotiate the best possible value and benefit to the schedule. Obtained required DOA prior to starting CP work. Reduced timelines minimized /avoided contract delay.</t>
  </si>
  <si>
    <t xml:space="preserve">Provided a well-supported Compensation Request Review Report, with minimal revisions and/or support required from ministry staff. Reduced timelines minimized/avoided contract delay. </t>
  </si>
  <si>
    <t>Independently reviewed Dispute Resolution submissions. Provided valuable support during the review and negotiations. Reduced timelines minimized/avoided contract delay. Proactively protected the Ministry's interest ensuring detailed DWRs, diaries, INCs, photos, etc.</t>
  </si>
  <si>
    <t>Proactively worked with the Contractor to identify and correct non-conformances ahead of contract timelines and/or prior to a potential non-conformance impacting the quality of the work. The consultant submitted documentation to demonstrate reduced or increased inspection levels during the proactive review of potential issues. To exceed, CSA shall provide a factual example of the issue and proactive measures taken.</t>
  </si>
  <si>
    <t>Provided additional detailed documentation and justification to support the assessment of the non-conformance. Additional documentation shall include information that is above and beyond what is expected/required under the NCR/Deviation process… i.e. future impacts as a result of corrective action (any precedent-setting issues?), potential claims or disputes as a result of non-conformance, the potential for similar nonconformance to occur again (i.e. equipment issues, labor issues), discussions at site meetings and results of discussions.</t>
  </si>
  <si>
    <t>The Service Provider submitted documentation to demonstrate reduced or increased field testing during the proactive review of potential issues. The Service Provider provided recommendations to MTO based on field testing to proactively identify future issues and potential disputes/claims. Consultant communicated to the contractor in a proactive manner where issues are observed and worked with the contractor to rectify and avoid future disputes. The Service Provider's actions reduced the exposure of MTO to claims and disputes</t>
  </si>
  <si>
    <t>Where issues arise with the test results, the CA provides detailed recommendations to MTO to administer the issue including rationale and background to support recommendations; no Ministry direction, guidance required, independently determined.  
CA, without invalidating the contractor's ability to follow the process, proactively communicates with the contractor (where applicable) and MTO to avoid future disputes related to non-conforming QC/QA results.</t>
  </si>
  <si>
    <t xml:space="preserve">CA proactively met with a specialist to review the work and deliverables. CA ensured that collaboration with specialists is carried out on any issues impacting the work involving the specialist. CA communicates with MTO/contractor proactively to advise/avoid potential future disputes/claims. CA maintains communication with MTO to advise of Specialist activities and results.  Where required Specialist provides an increased level of review at no cost to the Ministry. </t>
  </si>
  <si>
    <t>When MTO intervention is required with external stakeholders, CA provides dependable materials to support MTO discussions without the Ministry prompting the consultant for such materials. The materials provided exceed CCA Agreement requirements.
Provides advance notice that communication will result in complaints to the Minister / MPP including a summary with additional details of the issue, background information, etc.
Proactive in providing summaries and briefing materials in advance for issues identified as contentious and keeps excellent records of these issues.</t>
  </si>
  <si>
    <t>Proactive in identifying potential issues to the Contractor which mitigate cost and/or schedule and/or quality impacts to the Contract.
Accurate Contract clarifications were communicated to the Contractor with no Ministry guidance while keeping the Ministry informed.</t>
  </si>
  <si>
    <t>Prepared an excellent report that addressed all issues with no Ministry guidance required. Detailed supporting documentation to benefit the Ministry in defending the Infraction. 
Infraction Report(s) were complete, and the Infraction Process was followed with no guidance from the Ministry.
Proactive in working with the Contractor to mitigate any possible infractions prior to the infraction occurring and/or following a verbal or written Warning of Infraction.</t>
  </si>
  <si>
    <t>Proactive notification to Ministry of contentious issues with relevant information. Able to differentiate between contentious and non-contentious issues and the different communication methods for each. 
Provided excellent recommendations which were not considered or identified by the Ministry.</t>
  </si>
  <si>
    <t>Effectively protected the Ministry’s interests at all meetings.
Proactively and clearly communicated the Ministry’s position on all issues at project meetings. 
Ensure that any contentious issues are clearly discussed with outline of the issue and position of all parties.  </t>
  </si>
  <si>
    <t xml:space="preserve">Documents were completed as per CAITM with exemplary detailed notes, details, and photos to support DWRs and/or CRs. i.e. Documents had extra details including time and date stamped photos to ensure a detailed review of daily operations that would create a great benefit in the event of a claim or late DWR. Daily documentation includes all tasks. Documentation clearly demonstrated a measurable benefit to the Ministry. Documentation reflects any unforeseen/changed conditions and/or change order work and includes statements regarding any potential/existing conflict with original contract work and/or critical path schedule. </t>
  </si>
  <si>
    <t>Numerous Form B comments, beyond the minimum requirements in the CPR Guidelines, both positive and negative, are well supported with diary notes and photos as work occurs, to create a very detailed CPR and support NCRs. i.e.; comments on the majority of the work aspects including key elements such as traffic and environment that would benefit in the event of any NCRs or Warning of Infraction; NCRs and infractions covered in other sections. </t>
  </si>
  <si>
    <t>Upon request, monthly and at completion, there are numerous details noted for all applicable sections. Lessons learned are well detailed with valuable suggestions for better design or changes to future contracts resulting in measurable benefit to Ministry in improving future similar projects.</t>
  </si>
  <si>
    <r>
      <t xml:space="preserve">The monthly submissions were completed as per the CAITM, with additional supporting information and details to allow for a complete review of the monthly activities to date, </t>
    </r>
    <r>
      <rPr>
        <sz val="11"/>
        <color rgb="FF000000"/>
        <rFont val="Arial"/>
        <family val="2"/>
      </rPr>
      <t xml:space="preserve">forecast contractor patterns, etc.                                                                        </t>
    </r>
  </si>
  <si>
    <t>Proactively identified any significant missing information, standards, etc. in the Contract environmental submissions. Effectively communicated with the Contractor, Design Engineers to develop corresponding mitigation measures to prevent potential loss in the future. Proactively pursued relevant discussions with internal and external stakeholders related to errors or ambiguity in environmental requirements and commitments, which result in amendments that result in measurable benefit or risk avoidance for the Ministry. </t>
  </si>
  <si>
    <t xml:space="preserve">Proactively make sure the Contractors fully understand the environmental requirements and work closely with the Contractors to make an analysis for the potential risks in the next step of work. Develop a backup work plan for the potential risks. Identify, pursue and document situations where, without intervention, the contractor’s actions would cause measurable risk or negative impact to the Ministry. Documented, proactively monitored environmental measures, and consulted internal and external stakeholders to identify potential negative environmental impacts resulting from inclement weather and/or contractor operations. </t>
  </si>
  <si>
    <t xml:space="preserve">Proactively identified any missing information from the Contractor's submitted traffic protection plan. Effectively communicated with the Contractors to develop an optimized plan resulting in cost and schedule savings. Identified scenarios where, without intervention by the CA firm, the Ministry would have been exposed to measurable negative impacts or risks. </t>
  </si>
  <si>
    <t xml:space="preserve">Proactively utilized the expertise to discuss with the Contractors and improved the traffic control measures to ensure safety and proceed with construction without any potential delays. Identified scenarios where, without intervention by the CA firm, the Ministry would have been exposed to measurable negative impacts or risks.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</si>
</sst>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scheme val="minor"/>
    </font>
    <font>
      <sz val="11"/>
      <color theme="1"/>
      <name val="Arial"/>
      <family val="2"/>
    </font>
    <font>
      <sz val="12"/>
      <color theme="1"/>
      <name val="Arial"/>
      <family val="2"/>
    </font>
    <font>
      <b/>
      <sz val="22"/>
      <name val="Arial"/>
      <family val="2"/>
    </font>
    <font>
      <b/>
      <sz val="12"/>
      <name val="Arial"/>
      <family val="2"/>
    </font>
    <font>
      <b/>
      <sz val="12"/>
      <color theme="1"/>
      <name val="Arial"/>
      <family val="2"/>
    </font>
    <font>
      <sz val="12"/>
      <name val="Arial"/>
      <family val="2"/>
    </font>
    <font>
      <sz val="11"/>
      <color theme="1"/>
      <name val="Arial"/>
      <family val="2"/>
    </font>
    <font>
      <b/>
      <sz val="18"/>
      <color theme="0"/>
      <name val="Arial"/>
      <family val="2"/>
    </font>
    <font>
      <b/>
      <sz val="20"/>
      <color theme="1"/>
      <name val="Arial"/>
      <family val="2"/>
    </font>
    <font>
      <b/>
      <sz val="11"/>
      <color theme="1"/>
      <name val="Arial"/>
      <family val="2"/>
    </font>
    <font>
      <sz val="11"/>
      <color theme="1"/>
      <name val="Calibri"/>
      <family val="2"/>
      <scheme val="minor"/>
    </font>
    <font>
      <sz val="10"/>
      <color rgb="FF333333"/>
      <name val="Verdana"/>
      <family val="2"/>
    </font>
    <font>
      <b/>
      <sz val="18"/>
      <color theme="1"/>
      <name val="Arial"/>
      <family val="2"/>
    </font>
    <font>
      <b/>
      <sz val="16"/>
      <color theme="1"/>
      <name val="Arial"/>
      <family val="2"/>
    </font>
    <font>
      <b/>
      <sz val="22"/>
      <color theme="1"/>
      <name val="Arial"/>
      <family val="2"/>
    </font>
    <font>
      <sz val="11"/>
      <color theme="0"/>
      <name val="Arial"/>
      <family val="2"/>
    </font>
    <font>
      <sz val="11"/>
      <color rgb="FF000000"/>
      <name val="Arial"/>
      <family val="2"/>
    </font>
    <font>
      <sz val="10"/>
      <color rgb="FFFF0000"/>
      <name val="Arial"/>
      <family val="2"/>
    </font>
    <font>
      <b/>
      <u/>
      <sz val="20"/>
      <color theme="1"/>
      <name val="Arial"/>
      <family val="2"/>
    </font>
    <font>
      <sz val="11"/>
      <name val="Arial"/>
      <family val="2"/>
    </font>
    <font>
      <strike/>
      <sz val="11"/>
      <color rgb="FF000000"/>
      <name val="Arial"/>
      <family val="2"/>
    </font>
    <font>
      <sz val="12"/>
      <color theme="0"/>
      <name val="Arial"/>
      <family val="2"/>
    </font>
    <font>
      <b/>
      <sz val="11"/>
      <color theme="0"/>
      <name val="Arial"/>
      <family val="2"/>
    </font>
    <font>
      <b/>
      <sz val="20"/>
      <name val="Arial"/>
      <family val="2"/>
    </font>
    <font>
      <sz val="22"/>
      <name val="Arial"/>
      <family val="2"/>
    </font>
    <font>
      <b/>
      <sz val="11"/>
      <color theme="1"/>
      <name val="Calibri"/>
      <family val="2"/>
      <scheme val="minor"/>
    </font>
    <font>
      <b/>
      <sz val="12"/>
      <color theme="0"/>
      <name val="Arial"/>
      <family val="2"/>
    </font>
    <font>
      <b/>
      <sz val="11"/>
      <name val="Arial"/>
      <family val="2"/>
    </font>
    <font>
      <sz val="12"/>
      <color rgb="FFFF0000"/>
      <name val="Arial"/>
      <family val="2"/>
    </font>
    <font>
      <i/>
      <sz val="12"/>
      <color theme="1"/>
      <name val="Arial"/>
      <family val="2"/>
    </font>
    <font>
      <sz val="10"/>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269">
    <xf numFmtId="0" fontId="0" fillId="0" borderId="0" xfId="0"/>
    <xf numFmtId="0" fontId="2" fillId="0" borderId="0" xfId="0" applyFont="1"/>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quotePrefix="1" applyFont="1" applyFill="1" applyBorder="1" applyAlignment="1">
      <alignment horizontal="center" vertical="center" wrapText="1"/>
    </xf>
    <xf numFmtId="0" fontId="7" fillId="0" borderId="0" xfId="0" applyFont="1"/>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xf numFmtId="0" fontId="2" fillId="0" borderId="10" xfId="0" applyFont="1" applyBorder="1" applyAlignment="1">
      <alignment horizontal="center" vertical="center" wrapText="1"/>
    </xf>
    <xf numFmtId="0" fontId="9" fillId="0" borderId="0" xfId="0" applyFont="1"/>
    <xf numFmtId="0" fontId="9" fillId="0" borderId="0" xfId="0" applyFont="1" applyAlignment="1">
      <alignment horizontal="center"/>
    </xf>
    <xf numFmtId="0" fontId="0" fillId="0" borderId="35" xfId="0" applyBorder="1"/>
    <xf numFmtId="0" fontId="0" fillId="0" borderId="37" xfId="0" applyBorder="1"/>
    <xf numFmtId="0" fontId="0" fillId="0" borderId="36" xfId="0" applyBorder="1"/>
    <xf numFmtId="0" fontId="0" fillId="0" borderId="23" xfId="0" applyBorder="1"/>
    <xf numFmtId="0" fontId="0" fillId="0" borderId="24" xfId="0" applyBorder="1"/>
    <xf numFmtId="0" fontId="2" fillId="0" borderId="0" xfId="0" applyFont="1" applyAlignment="1">
      <alignment horizontal="center" vertical="center"/>
    </xf>
    <xf numFmtId="0" fontId="2" fillId="0" borderId="23" xfId="0" applyFont="1" applyBorder="1" applyAlignment="1">
      <alignment horizontal="center" vertical="center"/>
    </xf>
    <xf numFmtId="0" fontId="0" fillId="0" borderId="25" xfId="0" applyBorder="1"/>
    <xf numFmtId="0" fontId="0" fillId="0" borderId="30" xfId="0" applyBorder="1"/>
    <xf numFmtId="0" fontId="0" fillId="0" borderId="26" xfId="0" applyBorder="1"/>
    <xf numFmtId="0" fontId="5" fillId="0" borderId="0" xfId="0" applyFont="1"/>
    <xf numFmtId="10" fontId="5" fillId="0" borderId="21" xfId="0" applyNumberFormat="1" applyFont="1" applyBorder="1" applyAlignment="1">
      <alignment horizontal="center" vertical="center"/>
    </xf>
    <xf numFmtId="0" fontId="13" fillId="0" borderId="0" xfId="0" applyFont="1"/>
    <xf numFmtId="0" fontId="0" fillId="0" borderId="0" xfId="0" applyAlignment="1">
      <alignment horizontal="center"/>
    </xf>
    <xf numFmtId="0" fontId="10" fillId="0" borderId="1" xfId="0" applyFont="1" applyBorder="1" applyAlignment="1">
      <alignment horizontal="center"/>
    </xf>
    <xf numFmtId="0" fontId="5" fillId="0" borderId="0" xfId="0" applyFont="1" applyAlignment="1">
      <alignment horizontal="center"/>
    </xf>
    <xf numFmtId="0" fontId="10" fillId="0" borderId="19" xfId="0" applyFont="1" applyBorder="1" applyAlignment="1">
      <alignment horizontal="right" vertical="center"/>
    </xf>
    <xf numFmtId="0" fontId="10" fillId="0" borderId="0" xfId="0" applyFont="1" applyAlignment="1">
      <alignment horizontal="center" vertical="center"/>
    </xf>
    <xf numFmtId="0" fontId="2" fillId="0" borderId="23" xfId="0" applyFont="1" applyBorder="1"/>
    <xf numFmtId="0" fontId="2" fillId="0" borderId="24" xfId="0" applyFont="1" applyBorder="1"/>
    <xf numFmtId="0" fontId="2" fillId="0" borderId="0" xfId="0" applyFont="1" applyAlignment="1">
      <alignment horizontal="center"/>
    </xf>
    <xf numFmtId="0" fontId="2" fillId="0" borderId="30" xfId="0" applyFont="1" applyBorder="1" applyAlignment="1">
      <alignment horizontal="center"/>
    </xf>
    <xf numFmtId="0" fontId="5" fillId="0" borderId="37" xfId="0" applyFont="1" applyBorder="1" applyAlignment="1">
      <alignment horizontal="center" vertical="center"/>
    </xf>
    <xf numFmtId="0" fontId="16" fillId="0" borderId="0" xfId="0" applyFont="1"/>
    <xf numFmtId="0" fontId="2" fillId="0" borderId="8" xfId="0" applyFont="1" applyBorder="1" applyAlignment="1">
      <alignment horizontal="center" vertical="center" wrapText="1"/>
    </xf>
    <xf numFmtId="0" fontId="10" fillId="0" borderId="45" xfId="0" applyFont="1" applyBorder="1" applyAlignment="1">
      <alignment horizontal="right" vertical="center"/>
    </xf>
    <xf numFmtId="0" fontId="6" fillId="0" borderId="1" xfId="0" applyFont="1" applyBorder="1" applyAlignment="1">
      <alignment horizontal="center" vertical="center" wrapText="1"/>
    </xf>
    <xf numFmtId="0" fontId="1" fillId="0" borderId="0" xfId="0" applyFont="1"/>
    <xf numFmtId="0" fontId="19" fillId="0" borderId="0" xfId="0" applyFont="1" applyAlignment="1">
      <alignment horizontal="right"/>
    </xf>
    <xf numFmtId="0" fontId="5" fillId="0" borderId="18" xfId="0" applyFont="1" applyBorder="1" applyAlignment="1">
      <alignment horizontal="center" vertical="center"/>
    </xf>
    <xf numFmtId="10" fontId="5" fillId="0" borderId="18" xfId="1" applyNumberFormat="1" applyFont="1" applyFill="1" applyBorder="1" applyAlignment="1">
      <alignment horizontal="center" vertical="center"/>
    </xf>
    <xf numFmtId="0" fontId="19" fillId="0" borderId="18" xfId="0" applyFont="1" applyBorder="1" applyAlignment="1">
      <alignment horizontal="right"/>
    </xf>
    <xf numFmtId="0" fontId="5" fillId="2" borderId="31" xfId="0" applyFont="1" applyFill="1" applyBorder="1" applyAlignment="1">
      <alignment horizontal="center" vertical="center"/>
    </xf>
    <xf numFmtId="0" fontId="1" fillId="10" borderId="15" xfId="0" applyFont="1" applyFill="1" applyBorder="1" applyAlignment="1">
      <alignment horizontal="center" vertical="center"/>
    </xf>
    <xf numFmtId="0" fontId="1" fillId="5" borderId="15" xfId="0" applyFont="1" applyFill="1" applyBorder="1" applyAlignment="1">
      <alignment horizontal="center"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wrapText="1"/>
    </xf>
    <xf numFmtId="0" fontId="10" fillId="0" borderId="5" xfId="0" applyFont="1" applyBorder="1" applyAlignment="1">
      <alignment horizontal="center" vertical="center"/>
    </xf>
    <xf numFmtId="0" fontId="1" fillId="0" borderId="6" xfId="0" applyFont="1" applyBorder="1" applyAlignment="1">
      <alignment horizontal="left" vertical="center" wrapText="1"/>
    </xf>
    <xf numFmtId="0" fontId="10" fillId="0" borderId="11" xfId="0" applyFont="1" applyBorder="1" applyAlignment="1">
      <alignment horizontal="center" vertical="center"/>
    </xf>
    <xf numFmtId="0" fontId="1" fillId="0" borderId="44" xfId="0" applyFont="1" applyBorder="1" applyAlignment="1">
      <alignment horizontal="left" vertical="center" wrapText="1"/>
    </xf>
    <xf numFmtId="0" fontId="1" fillId="0" borderId="0" xfId="0" applyFont="1" applyAlignment="1">
      <alignment horizontal="lef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wrapText="1"/>
    </xf>
    <xf numFmtId="0" fontId="20" fillId="0" borderId="6" xfId="0" applyFont="1" applyBorder="1" applyAlignment="1">
      <alignment horizontal="left" vertical="center" wrapText="1"/>
    </xf>
    <xf numFmtId="0" fontId="20" fillId="0" borderId="44" xfId="0" applyFont="1" applyBorder="1" applyAlignment="1">
      <alignment horizontal="left" vertical="center" wrapText="1"/>
    </xf>
    <xf numFmtId="0" fontId="17" fillId="0" borderId="6" xfId="0" applyFont="1" applyBorder="1" applyAlignment="1">
      <alignment horizontal="left" vertical="center" wrapText="1"/>
    </xf>
    <xf numFmtId="0" fontId="21" fillId="0" borderId="0" xfId="0" applyFont="1" applyAlignment="1">
      <alignment horizontal="left" vertical="center" wrapText="1"/>
    </xf>
    <xf numFmtId="0" fontId="10" fillId="0" borderId="5" xfId="0" applyFont="1" applyBorder="1" applyAlignment="1">
      <alignment vertical="center"/>
    </xf>
    <xf numFmtId="0" fontId="2" fillId="0" borderId="12" xfId="0" applyFont="1" applyBorder="1" applyAlignment="1">
      <alignment horizontal="center" vertical="center" wrapText="1"/>
    </xf>
    <xf numFmtId="0" fontId="7" fillId="0" borderId="0" xfId="0" applyFont="1" applyAlignment="1">
      <alignment wrapText="1"/>
    </xf>
    <xf numFmtId="10" fontId="5" fillId="0" borderId="18" xfId="1" applyNumberFormat="1" applyFont="1" applyFill="1" applyBorder="1" applyAlignment="1">
      <alignment horizontal="center" vertical="center" wrapText="1"/>
    </xf>
    <xf numFmtId="0" fontId="1" fillId="9" borderId="1" xfId="0" applyFont="1" applyFill="1" applyBorder="1" applyAlignment="1">
      <alignment horizontal="center" vertical="center"/>
    </xf>
    <xf numFmtId="0" fontId="1" fillId="0" borderId="1" xfId="0" applyFont="1" applyBorder="1" applyAlignment="1">
      <alignment horizontal="center" vertical="center"/>
    </xf>
    <xf numFmtId="0" fontId="1" fillId="8" borderId="21" xfId="0" applyFont="1" applyFill="1" applyBorder="1" applyAlignment="1" applyProtection="1">
      <alignment horizontal="center" vertical="center"/>
      <protection locked="0"/>
    </xf>
    <xf numFmtId="0" fontId="1" fillId="0" borderId="0" xfId="0" applyFont="1" applyAlignment="1">
      <alignment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xf>
    <xf numFmtId="10" fontId="1" fillId="0" borderId="1" xfId="0" applyNumberFormat="1" applyFont="1" applyBorder="1" applyAlignment="1">
      <alignment horizontal="center"/>
    </xf>
    <xf numFmtId="0" fontId="1" fillId="0" borderId="1" xfId="0" applyFont="1" applyBorder="1"/>
    <xf numFmtId="0" fontId="1" fillId="0" borderId="46" xfId="0" applyFont="1" applyBorder="1"/>
    <xf numFmtId="0" fontId="17" fillId="0" borderId="44" xfId="0" applyFont="1" applyBorder="1" applyAlignment="1">
      <alignment horizontal="left" vertical="center" wrapText="1"/>
    </xf>
    <xf numFmtId="0" fontId="10" fillId="0" borderId="22" xfId="0" applyFont="1" applyBorder="1" applyAlignment="1">
      <alignment horizontal="center" vertical="center"/>
    </xf>
    <xf numFmtId="0" fontId="1" fillId="0" borderId="48" xfId="0" applyFont="1" applyBorder="1" applyAlignment="1">
      <alignment horizontal="left" vertical="center" wrapText="1"/>
    </xf>
    <xf numFmtId="0" fontId="17" fillId="0" borderId="21" xfId="0" applyFont="1" applyBorder="1" applyAlignment="1">
      <alignment horizontal="left" wrapText="1"/>
    </xf>
    <xf numFmtId="0" fontId="2" fillId="4" borderId="0" xfId="0" applyFont="1" applyFill="1"/>
    <xf numFmtId="0" fontId="6" fillId="0" borderId="0" xfId="0" applyFont="1"/>
    <xf numFmtId="0" fontId="23" fillId="0" borderId="0" xfId="0" applyFont="1" applyAlignment="1">
      <alignment horizontal="left" vertical="center"/>
    </xf>
    <xf numFmtId="0" fontId="23" fillId="0" borderId="0" xfId="0" applyFont="1" applyAlignment="1">
      <alignment horizontal="center" vertical="center"/>
    </xf>
    <xf numFmtId="0" fontId="16" fillId="0" borderId="0" xfId="0" applyFont="1" applyAlignment="1">
      <alignment horizontal="center" vertical="center"/>
    </xf>
    <xf numFmtId="0" fontId="1" fillId="5" borderId="18" xfId="0" applyFont="1" applyFill="1" applyBorder="1" applyAlignment="1">
      <alignment horizontal="center" vertical="center"/>
    </xf>
    <xf numFmtId="0" fontId="1" fillId="5" borderId="49" xfId="0" applyFont="1" applyFill="1" applyBorder="1" applyAlignment="1">
      <alignment vertical="center"/>
    </xf>
    <xf numFmtId="0" fontId="1" fillId="5" borderId="14" xfId="0" applyFont="1" applyFill="1" applyBorder="1" applyAlignment="1">
      <alignment vertical="center"/>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vertical="center"/>
    </xf>
    <xf numFmtId="0" fontId="10" fillId="0" borderId="6" xfId="0" applyFont="1" applyBorder="1" applyAlignment="1">
      <alignment horizontal="center" vertical="center"/>
    </xf>
    <xf numFmtId="0" fontId="1" fillId="0" borderId="23" xfId="0" applyFont="1" applyBorder="1"/>
    <xf numFmtId="0" fontId="1" fillId="0" borderId="24" xfId="0" applyFont="1" applyBorder="1"/>
    <xf numFmtId="0" fontId="1" fillId="5" borderId="22" xfId="0" applyFont="1" applyFill="1" applyBorder="1" applyAlignment="1">
      <alignment vertical="center"/>
    </xf>
    <xf numFmtId="0" fontId="1" fillId="5" borderId="50" xfId="0" applyFont="1" applyFill="1" applyBorder="1" applyAlignment="1">
      <alignment vertical="center"/>
    </xf>
    <xf numFmtId="0" fontId="10" fillId="0" borderId="22" xfId="0" applyFont="1" applyBorder="1" applyAlignment="1">
      <alignment horizontal="right" vertical="center"/>
    </xf>
    <xf numFmtId="0" fontId="1" fillId="0" borderId="6" xfId="0" applyFont="1" applyBorder="1" applyAlignment="1">
      <alignment horizontal="center"/>
    </xf>
    <xf numFmtId="0" fontId="1" fillId="0" borderId="22" xfId="0" applyFont="1" applyBorder="1"/>
    <xf numFmtId="0" fontId="1" fillId="0" borderId="23" xfId="0" applyFont="1" applyBorder="1" applyAlignment="1">
      <alignment vertical="center"/>
    </xf>
    <xf numFmtId="0" fontId="10" fillId="0" borderId="0" xfId="0" applyFont="1" applyAlignment="1">
      <alignment horizontal="right" vertical="center"/>
    </xf>
    <xf numFmtId="0" fontId="10" fillId="0" borderId="24" xfId="0" applyFont="1" applyBorder="1" applyAlignment="1">
      <alignment horizontal="center" vertical="center"/>
    </xf>
    <xf numFmtId="0" fontId="10" fillId="10" borderId="22" xfId="0" applyFont="1" applyFill="1" applyBorder="1" applyAlignment="1">
      <alignment vertical="center"/>
    </xf>
    <xf numFmtId="0" fontId="1" fillId="10" borderId="50" xfId="0" applyFont="1" applyFill="1" applyBorder="1" applyAlignment="1">
      <alignment vertical="center"/>
    </xf>
    <xf numFmtId="0" fontId="1" fillId="0" borderId="51" xfId="0" applyFont="1" applyBorder="1" applyAlignment="1">
      <alignment vertical="center"/>
    </xf>
    <xf numFmtId="0" fontId="10" fillId="0" borderId="52" xfId="0" applyFont="1" applyBorder="1" applyAlignment="1">
      <alignment horizontal="center" vertical="center"/>
    </xf>
    <xf numFmtId="0" fontId="1" fillId="0" borderId="6" xfId="0" applyFont="1" applyBorder="1" applyAlignment="1">
      <alignment horizontal="left" vertical="center"/>
    </xf>
    <xf numFmtId="0" fontId="1" fillId="0" borderId="52" xfId="0" applyFont="1" applyBorder="1" applyAlignment="1">
      <alignment horizontal="left" vertical="center"/>
    </xf>
    <xf numFmtId="0" fontId="10" fillId="0" borderId="44" xfId="0" applyFont="1" applyBorder="1" applyAlignment="1">
      <alignment horizontal="center" vertical="center"/>
    </xf>
    <xf numFmtId="0" fontId="1" fillId="0" borderId="24" xfId="0" applyFont="1" applyBorder="1" applyAlignment="1">
      <alignment horizontal="left" vertical="center"/>
    </xf>
    <xf numFmtId="0" fontId="10" fillId="0" borderId="23" xfId="0" applyFont="1" applyBorder="1" applyAlignment="1">
      <alignment horizontal="right" vertical="center"/>
    </xf>
    <xf numFmtId="0" fontId="10" fillId="0" borderId="51" xfId="0" applyFont="1" applyBorder="1" applyAlignment="1">
      <alignment horizontal="right" vertical="center"/>
    </xf>
    <xf numFmtId="0" fontId="20" fillId="0" borderId="0" xfId="0" applyFont="1"/>
    <xf numFmtId="0" fontId="25" fillId="0" borderId="0" xfId="0" applyFont="1" applyAlignment="1">
      <alignment vertical="top" textRotation="45"/>
    </xf>
    <xf numFmtId="2" fontId="2" fillId="0" borderId="0" xfId="0" applyNumberFormat="1" applyFont="1" applyAlignment="1">
      <alignment horizontal="center"/>
    </xf>
    <xf numFmtId="0" fontId="22" fillId="0" borderId="0" xfId="0" applyFont="1"/>
    <xf numFmtId="0" fontId="10" fillId="0" borderId="0" xfId="0" applyFont="1"/>
    <xf numFmtId="0" fontId="26" fillId="0" borderId="0" xfId="0" applyFont="1"/>
    <xf numFmtId="0" fontId="22" fillId="0" borderId="0" xfId="0" applyFont="1" applyAlignment="1">
      <alignment horizontal="center"/>
    </xf>
    <xf numFmtId="164" fontId="6" fillId="0" borderId="0" xfId="0" applyNumberFormat="1" applyFont="1"/>
    <xf numFmtId="2" fontId="6" fillId="0" borderId="0" xfId="0" applyNumberFormat="1" applyFont="1"/>
    <xf numFmtId="0" fontId="6" fillId="0" borderId="0" xfId="0" applyFont="1" applyAlignment="1">
      <alignment horizontal="center"/>
    </xf>
    <xf numFmtId="0" fontId="20" fillId="0" borderId="0" xfId="0" applyFont="1" applyAlignment="1">
      <alignment horizontal="center" vertical="center"/>
    </xf>
    <xf numFmtId="2" fontId="6" fillId="0" borderId="39" xfId="0" applyNumberFormat="1" applyFont="1" applyBorder="1" applyAlignment="1">
      <alignment horizontal="center"/>
    </xf>
    <xf numFmtId="0" fontId="28" fillId="0" borderId="0" xfId="0" applyFont="1" applyAlignment="1">
      <alignment horizontal="center" vertical="center"/>
    </xf>
    <xf numFmtId="0" fontId="6" fillId="0" borderId="0" xfId="0" applyFont="1" applyAlignment="1">
      <alignment horizontal="right"/>
    </xf>
    <xf numFmtId="164" fontId="28" fillId="0" borderId="21" xfId="0" applyNumberFormat="1" applyFont="1" applyBorder="1" applyAlignment="1">
      <alignment horizontal="center" vertical="center"/>
    </xf>
    <xf numFmtId="0" fontId="29" fillId="0" borderId="0" xfId="0" applyFont="1"/>
    <xf numFmtId="0" fontId="22" fillId="0" borderId="36" xfId="0" applyFont="1" applyBorder="1" applyAlignment="1">
      <alignment horizontal="center"/>
    </xf>
    <xf numFmtId="0" fontId="22" fillId="0" borderId="26" xfId="0" applyFont="1" applyBorder="1" applyAlignment="1">
      <alignment horizontal="center"/>
    </xf>
    <xf numFmtId="2" fontId="22" fillId="0" borderId="0" xfId="0" applyNumberFormat="1" applyFont="1"/>
    <xf numFmtId="164" fontId="22" fillId="0" borderId="30" xfId="0" applyNumberFormat="1" applyFont="1" applyBorder="1" applyAlignment="1">
      <alignment horizontal="center"/>
    </xf>
    <xf numFmtId="0" fontId="5" fillId="0" borderId="36" xfId="0" applyFont="1" applyBorder="1" applyAlignment="1">
      <alignment horizontal="center" vertical="center"/>
    </xf>
    <xf numFmtId="164" fontId="22" fillId="0" borderId="26" xfId="0" applyNumberFormat="1" applyFont="1" applyBorder="1" applyAlignment="1">
      <alignment horizontal="center"/>
    </xf>
    <xf numFmtId="2" fontId="2" fillId="4" borderId="0" xfId="0" applyNumberFormat="1" applyFont="1" applyFill="1" applyAlignment="1">
      <alignment horizontal="center"/>
    </xf>
    <xf numFmtId="0" fontId="2" fillId="4" borderId="0" xfId="0" applyFont="1" applyFill="1" applyAlignment="1">
      <alignment horizontal="center"/>
    </xf>
    <xf numFmtId="0" fontId="6" fillId="0" borderId="29" xfId="0" applyFont="1" applyBorder="1" applyAlignment="1">
      <alignment horizontal="center"/>
    </xf>
    <xf numFmtId="0" fontId="4" fillId="0" borderId="28" xfId="0" applyFont="1" applyBorder="1"/>
    <xf numFmtId="0" fontId="2" fillId="0" borderId="25" xfId="0" applyFont="1" applyBorder="1" applyAlignment="1">
      <alignment horizontal="center"/>
    </xf>
    <xf numFmtId="0" fontId="5" fillId="0" borderId="40" xfId="0" applyFont="1" applyBorder="1" applyAlignment="1">
      <alignment horizontal="center"/>
    </xf>
    <xf numFmtId="2" fontId="2" fillId="0" borderId="53" xfId="0" applyNumberFormat="1" applyFont="1" applyBorder="1" applyAlignment="1">
      <alignment horizontal="center"/>
    </xf>
    <xf numFmtId="2" fontId="2" fillId="0" borderId="39" xfId="0" applyNumberFormat="1" applyFont="1" applyBorder="1" applyAlignment="1">
      <alignment horizontal="center"/>
    </xf>
    <xf numFmtId="0" fontId="2" fillId="0" borderId="39" xfId="0" applyFont="1" applyBorder="1" applyAlignment="1">
      <alignment horizontal="center"/>
    </xf>
    <xf numFmtId="0" fontId="2" fillId="0" borderId="39" xfId="0" applyFont="1" applyBorder="1"/>
    <xf numFmtId="2" fontId="2" fillId="4" borderId="39" xfId="0" applyNumberFormat="1" applyFont="1" applyFill="1" applyBorder="1" applyAlignment="1">
      <alignment horizontal="center"/>
    </xf>
    <xf numFmtId="0" fontId="2" fillId="0" borderId="42" xfId="0" applyFont="1" applyBorder="1" applyAlignment="1">
      <alignment horizontal="center"/>
    </xf>
    <xf numFmtId="0" fontId="4" fillId="0" borderId="54" xfId="0" applyFont="1" applyBorder="1" applyAlignment="1">
      <alignment horizontal="center"/>
    </xf>
    <xf numFmtId="0" fontId="2" fillId="0" borderId="35" xfId="0" applyFont="1" applyBorder="1" applyAlignment="1">
      <alignment horizontal="center"/>
    </xf>
    <xf numFmtId="0" fontId="2" fillId="0" borderId="23" xfId="0" applyFont="1" applyBorder="1" applyAlignment="1">
      <alignment horizontal="center"/>
    </xf>
    <xf numFmtId="0" fontId="30" fillId="0" borderId="56" xfId="0" applyFont="1" applyBorder="1" applyAlignment="1">
      <alignment horizontal="center"/>
    </xf>
    <xf numFmtId="164" fontId="5" fillId="7" borderId="41" xfId="0" applyNumberFormat="1" applyFont="1" applyFill="1" applyBorder="1" applyAlignment="1">
      <alignment horizontal="center"/>
    </xf>
    <xf numFmtId="2" fontId="4" fillId="0" borderId="55" xfId="0" applyNumberFormat="1" applyFont="1" applyBorder="1" applyAlignment="1">
      <alignment horizontal="center"/>
    </xf>
    <xf numFmtId="0" fontId="31" fillId="0" borderId="23" xfId="0" applyFont="1" applyBorder="1" applyAlignment="1">
      <alignment horizontal="center" vertical="center"/>
    </xf>
    <xf numFmtId="0" fontId="31" fillId="0" borderId="0" xfId="0" applyFont="1" applyAlignment="1">
      <alignment horizontal="center"/>
    </xf>
    <xf numFmtId="0" fontId="31" fillId="0" borderId="24" xfId="0" applyFont="1" applyBorder="1" applyAlignment="1">
      <alignment horizontal="center"/>
    </xf>
    <xf numFmtId="0" fontId="31" fillId="0" borderId="25" xfId="0" applyFont="1" applyBorder="1" applyAlignment="1">
      <alignment horizontal="center" vertical="center"/>
    </xf>
    <xf numFmtId="0" fontId="31" fillId="0" borderId="30" xfId="0" applyFont="1" applyBorder="1" applyAlignment="1">
      <alignment horizontal="center"/>
    </xf>
    <xf numFmtId="0" fontId="31" fillId="0" borderId="26" xfId="0" applyFont="1" applyBorder="1"/>
    <xf numFmtId="2" fontId="27" fillId="0" borderId="21" xfId="0" applyNumberFormat="1" applyFont="1" applyBorder="1" applyAlignment="1">
      <alignment horizontal="center" vertical="center"/>
    </xf>
    <xf numFmtId="0" fontId="9" fillId="0" borderId="0" xfId="0" applyFont="1" applyAlignment="1">
      <alignment horizontal="center"/>
    </xf>
    <xf numFmtId="0" fontId="5" fillId="0" borderId="0" xfId="0" applyFont="1" applyAlignment="1">
      <alignment horizontal="left"/>
    </xf>
    <xf numFmtId="0" fontId="1" fillId="8" borderId="25" xfId="0" applyFont="1" applyFill="1" applyBorder="1" applyAlignment="1" applyProtection="1">
      <alignment horizontal="center" vertical="center"/>
      <protection locked="0"/>
    </xf>
    <xf numFmtId="0" fontId="1" fillId="8" borderId="30" xfId="0" applyFont="1" applyFill="1" applyBorder="1" applyAlignment="1" applyProtection="1">
      <alignment horizontal="center" vertical="center"/>
      <protection locked="0"/>
    </xf>
    <xf numFmtId="0" fontId="1" fillId="8" borderId="26" xfId="0" applyFont="1" applyFill="1" applyBorder="1" applyAlignment="1" applyProtection="1">
      <alignment horizontal="center" vertical="center"/>
      <protection locked="0"/>
    </xf>
    <xf numFmtId="0" fontId="1" fillId="8" borderId="25"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1" fillId="8" borderId="26" xfId="0" applyFont="1" applyFill="1" applyBorder="1" applyAlignment="1" applyProtection="1">
      <alignment horizontal="center" vertical="center" wrapText="1"/>
      <protection locked="0"/>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0" fillId="0" borderId="35" xfId="0"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5" fillId="0" borderId="0" xfId="0" applyFont="1" applyAlignment="1">
      <alignment horizontal="center"/>
    </xf>
    <xf numFmtId="0" fontId="0" fillId="0" borderId="0" xfId="0" applyAlignment="1">
      <alignment horizontal="center"/>
    </xf>
    <xf numFmtId="0" fontId="18" fillId="0" borderId="0" xfId="0" applyFont="1" applyAlignment="1">
      <alignment horizontal="center" wrapText="1"/>
    </xf>
    <xf numFmtId="0" fontId="14" fillId="0" borderId="0" xfId="0" applyFont="1" applyAlignment="1">
      <alignment horizontal="left"/>
    </xf>
    <xf numFmtId="0" fontId="14" fillId="0" borderId="0" xfId="0" applyFont="1" applyAlignment="1">
      <alignment vertical="center"/>
    </xf>
    <xf numFmtId="0" fontId="14" fillId="0" borderId="0" xfId="0" applyFont="1" applyAlignment="1"/>
    <xf numFmtId="0" fontId="14" fillId="0" borderId="24" xfId="0" applyFont="1" applyBorder="1" applyAlignment="1">
      <alignment horizontal="left"/>
    </xf>
    <xf numFmtId="0" fontId="2" fillId="0" borderId="0" xfId="0" applyFont="1" applyAlignment="1">
      <alignment horizontal="left" vertical="center"/>
    </xf>
    <xf numFmtId="0" fontId="1" fillId="0" borderId="0" xfId="0" applyFont="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5" fillId="0" borderId="29"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27" fillId="0" borderId="0" xfId="0" applyFont="1" applyAlignment="1">
      <alignment horizontal="center"/>
    </xf>
    <xf numFmtId="0" fontId="22" fillId="0" borderId="0" xfId="0" applyFont="1" applyAlignment="1">
      <alignment horizontal="center" vertical="center"/>
    </xf>
    <xf numFmtId="0" fontId="6" fillId="0" borderId="0" xfId="0" applyFont="1" applyAlignment="1">
      <alignment horizontal="left"/>
    </xf>
    <xf numFmtId="0" fontId="15" fillId="0" borderId="0" xfId="0" applyFont="1" applyAlignment="1">
      <alignment horizontal="center"/>
    </xf>
    <xf numFmtId="0" fontId="10" fillId="7" borderId="49" xfId="0" applyFont="1" applyFill="1" applyBorder="1" applyAlignment="1">
      <alignment horizontal="center"/>
    </xf>
    <xf numFmtId="0" fontId="10" fillId="7" borderId="18" xfId="0" applyFont="1" applyFill="1" applyBorder="1" applyAlignment="1">
      <alignment horizontal="center"/>
    </xf>
    <xf numFmtId="0" fontId="5" fillId="4" borderId="12"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4"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6" xfId="0" applyFont="1" applyFill="1" applyBorder="1" applyAlignment="1">
      <alignment horizontal="center" vertical="center"/>
    </xf>
    <xf numFmtId="10" fontId="5" fillId="4" borderId="12" xfId="1" applyNumberFormat="1" applyFont="1" applyFill="1" applyBorder="1" applyAlignment="1">
      <alignment horizontal="center" vertical="center"/>
    </xf>
    <xf numFmtId="10" fontId="5" fillId="4" borderId="17" xfId="1" applyNumberFormat="1" applyFont="1" applyFill="1" applyBorder="1" applyAlignment="1">
      <alignment horizontal="center" vertical="center"/>
    </xf>
    <xf numFmtId="10" fontId="5" fillId="4" borderId="10" xfId="1" applyNumberFormat="1" applyFont="1" applyFill="1" applyBorder="1" applyAlignment="1">
      <alignment horizontal="center" vertical="center"/>
    </xf>
    <xf numFmtId="10" fontId="5" fillId="4" borderId="42" xfId="1" applyNumberFormat="1" applyFont="1" applyFill="1" applyBorder="1" applyAlignment="1">
      <alignment horizontal="center" vertical="center"/>
    </xf>
    <xf numFmtId="10" fontId="5" fillId="4" borderId="30" xfId="1" applyNumberFormat="1" applyFont="1" applyFill="1" applyBorder="1" applyAlignment="1">
      <alignment horizontal="center" vertical="center"/>
    </xf>
    <xf numFmtId="10" fontId="5" fillId="4" borderId="26" xfId="1" applyNumberFormat="1" applyFont="1" applyFill="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38" xfId="0" applyFont="1" applyFill="1" applyBorder="1" applyAlignment="1">
      <alignment horizontal="center" vertical="center"/>
    </xf>
    <xf numFmtId="0" fontId="8" fillId="3" borderId="47" xfId="0" applyFont="1" applyFill="1" applyBorder="1" applyAlignment="1">
      <alignment horizontal="center"/>
    </xf>
    <xf numFmtId="0" fontId="8" fillId="3" borderId="9" xfId="0" applyFont="1" applyFill="1" applyBorder="1" applyAlignment="1">
      <alignment horizontal="center"/>
    </xf>
    <xf numFmtId="0" fontId="8" fillId="3" borderId="48" xfId="0" applyFont="1" applyFill="1" applyBorder="1" applyAlignment="1">
      <alignment horizont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7"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10" fontId="5" fillId="4" borderId="39" xfId="1" applyNumberFormat="1" applyFont="1" applyFill="1" applyBorder="1" applyAlignment="1">
      <alignment horizontal="center" vertical="center"/>
    </xf>
    <xf numFmtId="10" fontId="5" fillId="4" borderId="0" xfId="1" applyNumberFormat="1" applyFont="1" applyFill="1" applyBorder="1" applyAlignment="1">
      <alignment horizontal="center" vertical="center"/>
    </xf>
    <xf numFmtId="10" fontId="5" fillId="4" borderId="24" xfId="1" applyNumberFormat="1" applyFont="1" applyFill="1" applyBorder="1" applyAlignment="1">
      <alignment horizontal="center" vertical="center"/>
    </xf>
    <xf numFmtId="0" fontId="5" fillId="5" borderId="11" xfId="0" applyFont="1" applyFill="1" applyBorder="1" applyAlignment="1">
      <alignment horizontal="center" vertical="center"/>
    </xf>
    <xf numFmtId="10" fontId="5" fillId="4" borderId="1" xfId="1" applyNumberFormat="1" applyFont="1" applyFill="1" applyBorder="1" applyAlignment="1">
      <alignment horizontal="center" vertical="center"/>
    </xf>
    <xf numFmtId="10" fontId="5" fillId="4" borderId="6" xfId="1" applyNumberFormat="1" applyFont="1" applyFill="1" applyBorder="1" applyAlignment="1">
      <alignment horizontal="center" vertical="center"/>
    </xf>
    <xf numFmtId="10" fontId="5" fillId="4" borderId="7" xfId="1" applyNumberFormat="1" applyFont="1" applyFill="1" applyBorder="1" applyAlignment="1">
      <alignment horizontal="center" vertical="center"/>
    </xf>
    <xf numFmtId="10" fontId="5" fillId="4" borderId="44" xfId="1"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0" fontId="6" fillId="0" borderId="1" xfId="0" applyFont="1" applyBorder="1" applyAlignment="1">
      <alignment horizontal="left" vertical="center" wrapText="1"/>
    </xf>
    <xf numFmtId="0" fontId="10" fillId="7" borderId="27" xfId="0" applyFont="1" applyFill="1" applyBorder="1" applyAlignment="1">
      <alignment horizontal="center"/>
    </xf>
    <xf numFmtId="0" fontId="10" fillId="7" borderId="29" xfId="0" applyFont="1" applyFill="1" applyBorder="1" applyAlignment="1">
      <alignment horizontal="center"/>
    </xf>
    <xf numFmtId="0" fontId="10" fillId="7" borderId="28" xfId="0" applyFont="1" applyFill="1" applyBorder="1" applyAlignment="1">
      <alignment horizontal="center"/>
    </xf>
    <xf numFmtId="0" fontId="10" fillId="7" borderId="25" xfId="0" applyFont="1" applyFill="1" applyBorder="1" applyAlignment="1">
      <alignment horizontal="center"/>
    </xf>
    <xf numFmtId="0" fontId="10" fillId="7" borderId="30" xfId="0" applyFont="1" applyFill="1" applyBorder="1" applyAlignment="1">
      <alignment horizontal="center"/>
    </xf>
    <xf numFmtId="0" fontId="10" fillId="6" borderId="0" xfId="0" applyFont="1" applyFill="1" applyAlignment="1">
      <alignment horizont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xf>
    <xf numFmtId="0" fontId="24" fillId="0" borderId="0" xfId="0" applyFont="1" applyAlignment="1">
      <alignment horizontal="center"/>
    </xf>
    <xf numFmtId="0" fontId="10" fillId="6" borderId="13" xfId="0" applyFont="1" applyFill="1" applyBorder="1" applyAlignment="1">
      <alignment horizontal="center"/>
    </xf>
    <xf numFmtId="0" fontId="10" fillId="6" borderId="18" xfId="0" applyFont="1" applyFill="1" applyBorder="1" applyAlignment="1">
      <alignment horizont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17</xdr:col>
      <xdr:colOff>320767</xdr:colOff>
      <xdr:row>10</xdr:row>
      <xdr:rowOff>226219</xdr:rowOff>
    </xdr:from>
    <xdr:to>
      <xdr:col>21</xdr:col>
      <xdr:colOff>297653</xdr:colOff>
      <xdr:row>13</xdr:row>
      <xdr:rowOff>49304</xdr:rowOff>
    </xdr:to>
    <xdr:sp macro="[0]!Create_Monthly_Report" textlink="">
      <xdr:nvSpPr>
        <xdr:cNvPr id="3" name="Create_Monthly_Report">
          <a:extLst>
            <a:ext uri="{FF2B5EF4-FFF2-40B4-BE49-F238E27FC236}">
              <a16:creationId xmlns:a16="http://schemas.microsoft.com/office/drawing/2014/main" id="{00000000-0008-0000-0000-000003000000}"/>
            </a:ext>
          </a:extLst>
        </xdr:cNvPr>
        <xdr:cNvSpPr/>
      </xdr:nvSpPr>
      <xdr:spPr>
        <a:xfrm>
          <a:off x="13870080" y="2643188"/>
          <a:ext cx="2405761" cy="382679"/>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200" b="1">
              <a:solidFill>
                <a:schemeClr val="tx1"/>
              </a:solidFill>
              <a:latin typeface="Arial" panose="020B0604020202020204" pitchFamily="34" charset="0"/>
              <a:cs typeface="Arial" panose="020B0604020202020204" pitchFamily="34" charset="0"/>
            </a:rPr>
            <a:t>Create Monthly Report</a:t>
          </a:r>
          <a:endParaRPr lang="en-CA" sz="1400" b="1">
            <a:solidFill>
              <a:schemeClr val="tx1"/>
            </a:solidFill>
            <a:latin typeface="Arial" panose="020B0604020202020204" pitchFamily="34" charset="0"/>
            <a:cs typeface="Arial" panose="020B0604020202020204" pitchFamily="34" charset="0"/>
          </a:endParaRPr>
        </a:p>
      </xdr:txBody>
    </xdr:sp>
    <xdr:clientData fPrintsWithSheet="0"/>
  </xdr:twoCellAnchor>
  <xdr:twoCellAnchor editAs="absolute">
    <xdr:from>
      <xdr:col>15</xdr:col>
      <xdr:colOff>23813</xdr:colOff>
      <xdr:row>6</xdr:row>
      <xdr:rowOff>202408</xdr:rowOff>
    </xdr:from>
    <xdr:to>
      <xdr:col>18</xdr:col>
      <xdr:colOff>35720</xdr:colOff>
      <xdr:row>8</xdr:row>
      <xdr:rowOff>130970</xdr:rowOff>
    </xdr:to>
    <xdr:sp macro="[0]!Category_Weights" textlink="">
      <xdr:nvSpPr>
        <xdr:cNvPr id="4" name="Category_Weights">
          <a:extLst>
            <a:ext uri="{FF2B5EF4-FFF2-40B4-BE49-F238E27FC236}">
              <a16:creationId xmlns:a16="http://schemas.microsoft.com/office/drawing/2014/main" id="{00000000-0008-0000-0000-000004000000}"/>
            </a:ext>
          </a:extLst>
        </xdr:cNvPr>
        <xdr:cNvSpPr/>
      </xdr:nvSpPr>
      <xdr:spPr>
        <a:xfrm>
          <a:off x="11918157" y="1500189"/>
          <a:ext cx="2274094" cy="440531"/>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200" b="1">
              <a:solidFill>
                <a:schemeClr val="tx1"/>
              </a:solidFill>
              <a:latin typeface="Arial" panose="020B0604020202020204" pitchFamily="34" charset="0"/>
              <a:cs typeface="Arial" panose="020B0604020202020204" pitchFamily="34" charset="0"/>
            </a:rPr>
            <a:t>Input</a:t>
          </a:r>
          <a:r>
            <a:rPr lang="en-CA" sz="1200" b="1" baseline="0">
              <a:solidFill>
                <a:schemeClr val="tx1"/>
              </a:solidFill>
              <a:latin typeface="Arial" panose="020B0604020202020204" pitchFamily="34" charset="0"/>
              <a:cs typeface="Arial" panose="020B0604020202020204" pitchFamily="34" charset="0"/>
            </a:rPr>
            <a:t> </a:t>
          </a:r>
          <a:r>
            <a:rPr lang="en-CA" sz="1200" b="1">
              <a:solidFill>
                <a:schemeClr val="tx1"/>
              </a:solidFill>
              <a:latin typeface="Arial" panose="020B0604020202020204" pitchFamily="34" charset="0"/>
              <a:cs typeface="Arial" panose="020B0604020202020204" pitchFamily="34" charset="0"/>
            </a:rPr>
            <a:t>Category Weights</a:t>
          </a:r>
        </a:p>
      </xdr:txBody>
    </xdr:sp>
    <xdr:clientData fPrintsWithSheet="0"/>
  </xdr:twoCellAnchor>
  <xdr:twoCellAnchor editAs="absolute">
    <xdr:from>
      <xdr:col>5</xdr:col>
      <xdr:colOff>348509</xdr:colOff>
      <xdr:row>29</xdr:row>
      <xdr:rowOff>24793</xdr:rowOff>
    </xdr:from>
    <xdr:to>
      <xdr:col>5</xdr:col>
      <xdr:colOff>1189929</xdr:colOff>
      <xdr:row>29</xdr:row>
      <xdr:rowOff>293734</xdr:rowOff>
    </xdr:to>
    <xdr:grpSp>
      <xdr:nvGrpSpPr>
        <xdr:cNvPr id="5" name="Interim">
          <a:extLst>
            <a:ext uri="{FF2B5EF4-FFF2-40B4-BE49-F238E27FC236}">
              <a16:creationId xmlns:a16="http://schemas.microsoft.com/office/drawing/2014/main" id="{00000000-0008-0000-0000-000005000000}"/>
            </a:ext>
          </a:extLst>
        </xdr:cNvPr>
        <xdr:cNvGrpSpPr/>
      </xdr:nvGrpSpPr>
      <xdr:grpSpPr>
        <a:xfrm>
          <a:off x="4759317" y="7000024"/>
          <a:ext cx="841420" cy="268941"/>
          <a:chOff x="14008956" y="8284508"/>
          <a:chExt cx="835746" cy="268941"/>
        </a:xfrm>
      </xdr:grpSpPr>
      <xdr:sp macro="[0]!Interim_Click" textlink="">
        <xdr:nvSpPr>
          <xdr:cNvPr id="6" name="Interim_Checkbox">
            <a:extLst>
              <a:ext uri="{FF2B5EF4-FFF2-40B4-BE49-F238E27FC236}">
                <a16:creationId xmlns:a16="http://schemas.microsoft.com/office/drawing/2014/main" id="{00000000-0008-0000-0000-000006000000}"/>
              </a:ext>
            </a:extLst>
          </xdr:cNvPr>
          <xdr:cNvSpPr/>
        </xdr:nvSpPr>
        <xdr:spPr bwMode="auto">
          <a:xfrm>
            <a:off x="14008956" y="8344380"/>
            <a:ext cx="135851" cy="137160"/>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chemeClr val="bg1">
                <a:lumMod val="75000"/>
              </a:schemeClr>
            </a:solidFill>
            <a:prstDash val="solid"/>
            <a:round/>
            <a:headEnd type="none" w="med" len="med"/>
            <a:tailEnd type="none" w="med" len="med"/>
          </a:ln>
          <a:effectLst/>
          <a:scene3d>
            <a:camera prst="orthographicFront"/>
            <a:lightRig rig="threePt" dir="t"/>
          </a:scene3d>
          <a:sp3d>
            <a:bevelT/>
          </a:sp3d>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lang="en-CA" sz="1100">
                <a:solidFill>
                  <a:srgbClr xmlns:mc="http://schemas.openxmlformats.org/markup-compatibility/2006" xmlns:a14="http://schemas.microsoft.com/office/drawing/2010/main" val="FFFFFF" mc:Ignorable="a14" a14:legacySpreadsheetColorIndex="9"/>
                </a:solidFill>
                <a:sym typeface="Wingdings"/>
              </a:rPr>
              <a:t></a:t>
            </a:r>
            <a:endParaRPr lang="en-CA" sz="1100">
              <a:solidFill>
                <a:srgbClr xmlns:mc="http://schemas.openxmlformats.org/markup-compatibility/2006" xmlns:a14="http://schemas.microsoft.com/office/drawing/2010/main" val="FFFFFF" mc:Ignorable="a14" a14:legacySpreadsheetColorIndex="9"/>
              </a:solidFill>
            </a:endParaRPr>
          </a:p>
        </xdr:txBody>
      </xdr:sp>
      <xdr:sp macro="[0]!Interim_Click" textlink="">
        <xdr:nvSpPr>
          <xdr:cNvPr id="7" name="1">
            <a:extLst>
              <a:ext uri="{FF2B5EF4-FFF2-40B4-BE49-F238E27FC236}">
                <a16:creationId xmlns:a16="http://schemas.microsoft.com/office/drawing/2014/main" id="{00000000-0008-0000-0000-000007000000}"/>
              </a:ext>
            </a:extLst>
          </xdr:cNvPr>
          <xdr:cNvSpPr/>
        </xdr:nvSpPr>
        <xdr:spPr bwMode="auto">
          <a:xfrm>
            <a:off x="14200361" y="8284508"/>
            <a:ext cx="644341" cy="2689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lang="en-CA" sz="1200">
                <a:latin typeface="Arial" panose="020B0604020202020204" pitchFamily="34" charset="0"/>
                <a:cs typeface="Arial" panose="020B0604020202020204" pitchFamily="34" charset="0"/>
              </a:rPr>
              <a:t>Interim</a:t>
            </a:r>
            <a:endParaRPr lang="en-CA" sz="1400">
              <a:latin typeface="Arial" panose="020B0604020202020204" pitchFamily="34" charset="0"/>
              <a:cs typeface="Arial" panose="020B0604020202020204" pitchFamily="34" charset="0"/>
            </a:endParaRPr>
          </a:p>
        </xdr:txBody>
      </xdr:sp>
    </xdr:grpSp>
    <xdr:clientData/>
  </xdr:twoCellAnchor>
  <xdr:twoCellAnchor editAs="absolute">
    <xdr:from>
      <xdr:col>5</xdr:col>
      <xdr:colOff>1358712</xdr:colOff>
      <xdr:row>29</xdr:row>
      <xdr:rowOff>36002</xdr:rowOff>
    </xdr:from>
    <xdr:to>
      <xdr:col>7</xdr:col>
      <xdr:colOff>169628</xdr:colOff>
      <xdr:row>29</xdr:row>
      <xdr:rowOff>304943</xdr:rowOff>
    </xdr:to>
    <xdr:grpSp>
      <xdr:nvGrpSpPr>
        <xdr:cNvPr id="8" name="Final">
          <a:extLst>
            <a:ext uri="{FF2B5EF4-FFF2-40B4-BE49-F238E27FC236}">
              <a16:creationId xmlns:a16="http://schemas.microsoft.com/office/drawing/2014/main" id="{00000000-0008-0000-0000-000008000000}"/>
            </a:ext>
          </a:extLst>
        </xdr:cNvPr>
        <xdr:cNvGrpSpPr/>
      </xdr:nvGrpSpPr>
      <xdr:grpSpPr>
        <a:xfrm>
          <a:off x="5769520" y="7011233"/>
          <a:ext cx="833146" cy="268941"/>
          <a:chOff x="14008955" y="8294033"/>
          <a:chExt cx="825060" cy="268941"/>
        </a:xfrm>
      </xdr:grpSpPr>
      <xdr:sp macro="[0]!Final_Click" textlink="">
        <xdr:nvSpPr>
          <xdr:cNvPr id="9" name="Final_Checkbox">
            <a:extLst>
              <a:ext uri="{FF2B5EF4-FFF2-40B4-BE49-F238E27FC236}">
                <a16:creationId xmlns:a16="http://schemas.microsoft.com/office/drawing/2014/main" id="{00000000-0008-0000-0000-000009000000}"/>
              </a:ext>
            </a:extLst>
          </xdr:cNvPr>
          <xdr:cNvSpPr/>
        </xdr:nvSpPr>
        <xdr:spPr bwMode="auto">
          <a:xfrm>
            <a:off x="14008955" y="8344379"/>
            <a:ext cx="137491" cy="137160"/>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chemeClr val="bg1">
                <a:lumMod val="75000"/>
              </a:schemeClr>
            </a:solidFill>
            <a:prstDash val="solid"/>
            <a:round/>
            <a:headEnd type="none" w="med" len="med"/>
            <a:tailEnd type="none" w="med" len="med"/>
          </a:ln>
          <a:effectLst/>
          <a:scene3d>
            <a:camera prst="orthographicFront"/>
            <a:lightRig rig="threePt" dir="t"/>
          </a:scene3d>
          <a:sp3d>
            <a:bevelT/>
          </a:sp3d>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lang="en-CA" sz="1100">
                <a:solidFill>
                  <a:srgbClr xmlns:mc="http://schemas.openxmlformats.org/markup-compatibility/2006" xmlns:a14="http://schemas.microsoft.com/office/drawing/2010/main" val="FFFFFF" mc:Ignorable="a14" a14:legacySpreadsheetColorIndex="9"/>
                </a:solidFill>
                <a:sym typeface="Wingdings"/>
              </a:rPr>
              <a:t></a:t>
            </a:r>
            <a:endParaRPr lang="en-CA" sz="1100">
              <a:solidFill>
                <a:srgbClr xmlns:mc="http://schemas.openxmlformats.org/markup-compatibility/2006" xmlns:a14="http://schemas.microsoft.com/office/drawing/2010/main" val="FFFFFF" mc:Ignorable="a14" a14:legacySpreadsheetColorIndex="9"/>
              </a:solidFill>
            </a:endParaRPr>
          </a:p>
        </xdr:txBody>
      </xdr:sp>
      <xdr:sp macro="[0]!Final_Click" textlink="">
        <xdr:nvSpPr>
          <xdr:cNvPr id="10" name="1">
            <a:extLst>
              <a:ext uri="{FF2B5EF4-FFF2-40B4-BE49-F238E27FC236}">
                <a16:creationId xmlns:a16="http://schemas.microsoft.com/office/drawing/2014/main" id="{00000000-0008-0000-0000-00000A000000}"/>
              </a:ext>
            </a:extLst>
          </xdr:cNvPr>
          <xdr:cNvSpPr/>
        </xdr:nvSpPr>
        <xdr:spPr bwMode="auto">
          <a:xfrm>
            <a:off x="14189674" y="8294033"/>
            <a:ext cx="644341" cy="2689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lang="en-CA" sz="1200">
                <a:latin typeface="Arial" panose="020B0604020202020204" pitchFamily="34" charset="0"/>
                <a:cs typeface="Arial" panose="020B0604020202020204" pitchFamily="34" charset="0"/>
              </a:rPr>
              <a:t>Final</a:t>
            </a:r>
          </a:p>
        </xdr:txBody>
      </xdr:sp>
    </xdr:grpSp>
    <xdr:clientData/>
  </xdr:twoCellAnchor>
  <xdr:twoCellAnchor editAs="absolute">
    <xdr:from>
      <xdr:col>2</xdr:col>
      <xdr:colOff>51827</xdr:colOff>
      <xdr:row>30</xdr:row>
      <xdr:rowOff>35019</xdr:rowOff>
    </xdr:from>
    <xdr:to>
      <xdr:col>2</xdr:col>
      <xdr:colOff>1502288</xdr:colOff>
      <xdr:row>31</xdr:row>
      <xdr:rowOff>281</xdr:rowOff>
    </xdr:to>
    <xdr:sp macro="[0]!Update_Score_Click" textlink="">
      <xdr:nvSpPr>
        <xdr:cNvPr id="11" name="Update_Score">
          <a:extLst>
            <a:ext uri="{FF2B5EF4-FFF2-40B4-BE49-F238E27FC236}">
              <a16:creationId xmlns:a16="http://schemas.microsoft.com/office/drawing/2014/main" id="{00000000-0008-0000-0000-00000B000000}"/>
            </a:ext>
          </a:extLst>
        </xdr:cNvPr>
        <xdr:cNvSpPr/>
      </xdr:nvSpPr>
      <xdr:spPr>
        <a:xfrm>
          <a:off x="1665474" y="7363666"/>
          <a:ext cx="1450461" cy="334356"/>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200" b="1">
              <a:solidFill>
                <a:schemeClr val="tx1"/>
              </a:solidFill>
              <a:latin typeface="Arial" panose="020B0604020202020204" pitchFamily="34" charset="0"/>
              <a:cs typeface="Arial" panose="020B0604020202020204" pitchFamily="34" charset="0"/>
            </a:rPr>
            <a:t>Update Score</a:t>
          </a:r>
        </a:p>
      </xdr:txBody>
    </xdr:sp>
    <xdr:clientData fPrintsWithSheet="0"/>
  </xdr:twoCellAnchor>
  <xdr:twoCellAnchor editAs="absolute">
    <xdr:from>
      <xdr:col>15</xdr:col>
      <xdr:colOff>26194</xdr:colOff>
      <xdr:row>13</xdr:row>
      <xdr:rowOff>519113</xdr:rowOff>
    </xdr:from>
    <xdr:to>
      <xdr:col>18</xdr:col>
      <xdr:colOff>250349</xdr:colOff>
      <xdr:row>15</xdr:row>
      <xdr:rowOff>179313</xdr:rowOff>
    </xdr:to>
    <xdr:sp macro="[0]!Save_As_PDF_Click" textlink="">
      <xdr:nvSpPr>
        <xdr:cNvPr id="13" name="Update_Score">
          <a:extLst>
            <a:ext uri="{FF2B5EF4-FFF2-40B4-BE49-F238E27FC236}">
              <a16:creationId xmlns:a16="http://schemas.microsoft.com/office/drawing/2014/main" id="{00000000-0008-0000-0000-00000D000000}"/>
            </a:ext>
          </a:extLst>
        </xdr:cNvPr>
        <xdr:cNvSpPr/>
      </xdr:nvSpPr>
      <xdr:spPr>
        <a:xfrm>
          <a:off x="11920538" y="3495676"/>
          <a:ext cx="2486342" cy="469825"/>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200" b="1">
              <a:solidFill>
                <a:schemeClr val="tx1"/>
              </a:solidFill>
              <a:latin typeface="Arial" panose="020B0604020202020204" pitchFamily="34" charset="0"/>
              <a:cs typeface="Arial" panose="020B0604020202020204" pitchFamily="34" charset="0"/>
            </a:rPr>
            <a:t>Save Entire</a:t>
          </a:r>
          <a:r>
            <a:rPr lang="en-CA" sz="1200" b="1" baseline="0">
              <a:solidFill>
                <a:schemeClr val="tx1"/>
              </a:solidFill>
              <a:latin typeface="Arial" panose="020B0604020202020204" pitchFamily="34" charset="0"/>
              <a:cs typeface="Arial" panose="020B0604020202020204" pitchFamily="34" charset="0"/>
            </a:rPr>
            <a:t> Workbook as PDF</a:t>
          </a:r>
          <a:endParaRPr lang="en-CA" sz="1200" b="1">
            <a:solidFill>
              <a:schemeClr val="tx1"/>
            </a:solidFill>
            <a:latin typeface="Arial" panose="020B0604020202020204" pitchFamily="34" charset="0"/>
            <a:cs typeface="Arial" panose="020B0604020202020204" pitchFamily="34" charset="0"/>
          </a:endParaRPr>
        </a:p>
      </xdr:txBody>
    </xdr:sp>
    <xdr:clientData fPrintsWithSheet="0"/>
  </xdr:twoCellAnchor>
  <xdr:twoCellAnchor editAs="absolute">
    <xdr:from>
      <xdr:col>3</xdr:col>
      <xdr:colOff>523872</xdr:colOff>
      <xdr:row>29</xdr:row>
      <xdr:rowOff>23814</xdr:rowOff>
    </xdr:from>
    <xdr:to>
      <xdr:col>5</xdr:col>
      <xdr:colOff>150855</xdr:colOff>
      <xdr:row>29</xdr:row>
      <xdr:rowOff>292755</xdr:rowOff>
    </xdr:to>
    <xdr:grpSp>
      <xdr:nvGrpSpPr>
        <xdr:cNvPr id="34" name="Monthly_CB2">
          <a:extLst>
            <a:ext uri="{FF2B5EF4-FFF2-40B4-BE49-F238E27FC236}">
              <a16:creationId xmlns:a16="http://schemas.microsoft.com/office/drawing/2014/main" id="{00000000-0008-0000-0000-000022000000}"/>
            </a:ext>
          </a:extLst>
        </xdr:cNvPr>
        <xdr:cNvGrpSpPr/>
      </xdr:nvGrpSpPr>
      <xdr:grpSpPr>
        <a:xfrm>
          <a:off x="3703757" y="6999045"/>
          <a:ext cx="857906" cy="268941"/>
          <a:chOff x="14008956" y="8284508"/>
          <a:chExt cx="835746" cy="268941"/>
        </a:xfrm>
      </xdr:grpSpPr>
      <xdr:sp macro="[0]!Monthly_CB2_Click" textlink="">
        <xdr:nvSpPr>
          <xdr:cNvPr id="35" name="Monthly_Checkbox">
            <a:extLst>
              <a:ext uri="{FF2B5EF4-FFF2-40B4-BE49-F238E27FC236}">
                <a16:creationId xmlns:a16="http://schemas.microsoft.com/office/drawing/2014/main" id="{00000000-0008-0000-0000-000023000000}"/>
              </a:ext>
            </a:extLst>
          </xdr:cNvPr>
          <xdr:cNvSpPr/>
        </xdr:nvSpPr>
        <xdr:spPr bwMode="auto">
          <a:xfrm>
            <a:off x="14008956" y="8344380"/>
            <a:ext cx="135851" cy="137160"/>
          </a:xfrm>
          <a:prstGeom prst="rect">
            <a:avLst/>
          </a:prstGeom>
          <a:solidFill>
            <a:srgbClr xmlns:mc="http://schemas.openxmlformats.org/markup-compatibility/2006" xmlns:a14="http://schemas.microsoft.com/office/drawing/2010/main" val="FFFFFF" mc:Ignorable="a14" a14:legacySpreadsheetColorIndex="9"/>
          </a:solidFill>
          <a:ln w="3175" cap="flat" cmpd="sng" algn="ctr">
            <a:solidFill>
              <a:schemeClr val="bg1">
                <a:lumMod val="75000"/>
              </a:schemeClr>
            </a:solidFill>
            <a:prstDash val="solid"/>
            <a:round/>
            <a:headEnd type="none" w="med" len="med"/>
            <a:tailEnd type="none" w="med" len="med"/>
          </a:ln>
          <a:effectLst/>
          <a:scene3d>
            <a:camera prst="orthographicFront"/>
            <a:lightRig rig="threePt" dir="t"/>
          </a:scene3d>
          <a:sp3d>
            <a:bevelT/>
          </a:sp3d>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lang="en-CA" sz="1100">
                <a:solidFill>
                  <a:srgbClr xmlns:mc="http://schemas.openxmlformats.org/markup-compatibility/2006" xmlns:a14="http://schemas.microsoft.com/office/drawing/2010/main" val="000000" mc:Ignorable="a14" a14:legacySpreadsheetColorIndex="8"/>
                </a:solidFill>
                <a:sym typeface="Wingdings"/>
              </a:rPr>
              <a:t></a:t>
            </a:r>
            <a:endParaRPr lang="en-CA" sz="1100">
              <a:solidFill>
                <a:srgbClr xmlns:mc="http://schemas.openxmlformats.org/markup-compatibility/2006" xmlns:a14="http://schemas.microsoft.com/office/drawing/2010/main" val="000000" mc:Ignorable="a14" a14:legacySpreadsheetColorIndex="8"/>
              </a:solidFill>
            </a:endParaRPr>
          </a:p>
        </xdr:txBody>
      </xdr:sp>
      <xdr:sp macro="[0]!Monthly_CB2_Click" textlink="">
        <xdr:nvSpPr>
          <xdr:cNvPr id="36" name="1">
            <a:extLst>
              <a:ext uri="{FF2B5EF4-FFF2-40B4-BE49-F238E27FC236}">
                <a16:creationId xmlns:a16="http://schemas.microsoft.com/office/drawing/2014/main" id="{00000000-0008-0000-0000-000024000000}"/>
              </a:ext>
            </a:extLst>
          </xdr:cNvPr>
          <xdr:cNvSpPr/>
        </xdr:nvSpPr>
        <xdr:spPr bwMode="auto">
          <a:xfrm>
            <a:off x="14200361" y="8284508"/>
            <a:ext cx="644341" cy="2689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lang="en-CA" sz="1200">
                <a:latin typeface="Arial" panose="020B0604020202020204" pitchFamily="34" charset="0"/>
                <a:cs typeface="Arial" panose="020B0604020202020204" pitchFamily="34" charset="0"/>
              </a:rPr>
              <a:t>Monthly</a:t>
            </a:r>
            <a:endParaRPr lang="en-CA" sz="14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700653</xdr:colOff>
      <xdr:row>2</xdr:row>
      <xdr:rowOff>43011</xdr:rowOff>
    </xdr:from>
    <xdr:to>
      <xdr:col>4</xdr:col>
      <xdr:colOff>1556758</xdr:colOff>
      <xdr:row>4</xdr:row>
      <xdr:rowOff>161013</xdr:rowOff>
    </xdr:to>
    <xdr:sp macro="[0]!Score_Monthly_Report_Click" textlink="">
      <xdr:nvSpPr>
        <xdr:cNvPr id="2" name="Score_Monthly_Report">
          <a:extLst>
            <a:ext uri="{FF2B5EF4-FFF2-40B4-BE49-F238E27FC236}">
              <a16:creationId xmlns:a16="http://schemas.microsoft.com/office/drawing/2014/main" id="{00000000-0008-0000-0200-000002000000}"/>
            </a:ext>
          </a:extLst>
        </xdr:cNvPr>
        <xdr:cNvSpPr/>
      </xdr:nvSpPr>
      <xdr:spPr>
        <a:xfrm>
          <a:off x="6740523" y="398954"/>
          <a:ext cx="3951730" cy="685533"/>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solidFill>
              <a:latin typeface="Arial" panose="020B0604020202020204" pitchFamily="34" charset="0"/>
              <a:cs typeface="Arial" panose="020B0604020202020204" pitchFamily="34" charset="0"/>
            </a:rPr>
            <a:t>Score Monthly</a:t>
          </a:r>
          <a:r>
            <a:rPr lang="en-CA" sz="2000" b="1" baseline="0">
              <a:solidFill>
                <a:schemeClr val="tx1"/>
              </a:solidFill>
              <a:latin typeface="Arial" panose="020B0604020202020204" pitchFamily="34" charset="0"/>
              <a:cs typeface="Arial" panose="020B0604020202020204" pitchFamily="34" charset="0"/>
            </a:rPr>
            <a:t> Report</a:t>
          </a:r>
          <a:endParaRPr lang="en-CA" sz="2000" b="1">
            <a:solidFill>
              <a:schemeClr val="tx1"/>
            </a:solidFill>
            <a:latin typeface="Arial" panose="020B0604020202020204" pitchFamily="34" charset="0"/>
            <a:cs typeface="Arial" panose="020B0604020202020204" pitchFamily="34" charset="0"/>
          </a:endParaRPr>
        </a:p>
      </xdr:txBody>
    </xdr:sp>
    <xdr:clientData fPrintsWithSheet="0"/>
  </xdr:twoCellAnchor>
  <xdr:twoCellAnchor editAs="absolute">
    <xdr:from>
      <xdr:col>3</xdr:col>
      <xdr:colOff>687048</xdr:colOff>
      <xdr:row>14</xdr:row>
      <xdr:rowOff>127034</xdr:rowOff>
    </xdr:from>
    <xdr:to>
      <xdr:col>4</xdr:col>
      <xdr:colOff>1543153</xdr:colOff>
      <xdr:row>16</xdr:row>
      <xdr:rowOff>476607</xdr:rowOff>
    </xdr:to>
    <xdr:sp macro="[0]!Delete_Month_Click" textlink="">
      <xdr:nvSpPr>
        <xdr:cNvPr id="5" name="Delete_Month">
          <a:extLst>
            <a:ext uri="{FF2B5EF4-FFF2-40B4-BE49-F238E27FC236}">
              <a16:creationId xmlns:a16="http://schemas.microsoft.com/office/drawing/2014/main" id="{00000000-0008-0000-0200-000005000000}"/>
            </a:ext>
          </a:extLst>
        </xdr:cNvPr>
        <xdr:cNvSpPr/>
      </xdr:nvSpPr>
      <xdr:spPr>
        <a:xfrm>
          <a:off x="6726918" y="2981966"/>
          <a:ext cx="3951730" cy="703170"/>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a:solidFill>
                <a:schemeClr val="tx1"/>
              </a:solidFill>
              <a:latin typeface="Arial" panose="020B0604020202020204" pitchFamily="34" charset="0"/>
              <a:cs typeface="Arial" panose="020B0604020202020204" pitchFamily="34" charset="0"/>
            </a:rPr>
            <a:t>Delete</a:t>
          </a:r>
        </a:p>
      </xdr:txBody>
    </xdr:sp>
    <xdr:clientData fPrintsWithSheet="0"/>
  </xdr:twoCellAnchor>
  <xdr:twoCellAnchor editAs="absolute">
    <xdr:from>
      <xdr:col>3</xdr:col>
      <xdr:colOff>695851</xdr:colOff>
      <xdr:row>9</xdr:row>
      <xdr:rowOff>293111</xdr:rowOff>
    </xdr:from>
    <xdr:to>
      <xdr:col>4</xdr:col>
      <xdr:colOff>1551956</xdr:colOff>
      <xdr:row>13</xdr:row>
      <xdr:rowOff>121954</xdr:rowOff>
    </xdr:to>
    <xdr:sp macro="[0]!Create_PDF_Summary_Click" textlink="">
      <xdr:nvSpPr>
        <xdr:cNvPr id="4" name="Create_PDF_Summary">
          <a:extLst>
            <a:ext uri="{FF2B5EF4-FFF2-40B4-BE49-F238E27FC236}">
              <a16:creationId xmlns:a16="http://schemas.microsoft.com/office/drawing/2014/main" id="{00000000-0008-0000-0200-000004000000}"/>
            </a:ext>
          </a:extLst>
        </xdr:cNvPr>
        <xdr:cNvSpPr/>
      </xdr:nvSpPr>
      <xdr:spPr>
        <a:xfrm>
          <a:off x="6735721" y="2100293"/>
          <a:ext cx="3951730" cy="696677"/>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baseline="0">
              <a:solidFill>
                <a:schemeClr val="tx1"/>
              </a:solidFill>
              <a:latin typeface="Arial" panose="020B0604020202020204" pitchFamily="34" charset="0"/>
              <a:cs typeface="Arial" panose="020B0604020202020204" pitchFamily="34" charset="0"/>
            </a:rPr>
            <a:t>Create PDF Summary</a:t>
          </a:r>
          <a:endParaRPr lang="en-CA" sz="2000" b="1">
            <a:solidFill>
              <a:schemeClr val="tx1"/>
            </a:solidFill>
            <a:latin typeface="Arial" panose="020B0604020202020204" pitchFamily="34" charset="0"/>
            <a:cs typeface="Arial" panose="020B0604020202020204" pitchFamily="34" charset="0"/>
          </a:endParaRPr>
        </a:p>
      </xdr:txBody>
    </xdr:sp>
    <xdr:clientData fPrintsWithSheet="0"/>
  </xdr:twoCellAnchor>
  <xdr:twoCellAnchor editAs="absolute">
    <xdr:from>
      <xdr:col>3</xdr:col>
      <xdr:colOff>705376</xdr:colOff>
      <xdr:row>5</xdr:row>
      <xdr:rowOff>149177</xdr:rowOff>
    </xdr:from>
    <xdr:to>
      <xdr:col>4</xdr:col>
      <xdr:colOff>1561481</xdr:colOff>
      <xdr:row>9</xdr:row>
      <xdr:rowOff>136772</xdr:rowOff>
    </xdr:to>
    <xdr:sp macro="[0]!Input_Category_Weight_2_Click" textlink="">
      <xdr:nvSpPr>
        <xdr:cNvPr id="6" name="Input_Category_Weight_2">
          <a:extLst>
            <a:ext uri="{FF2B5EF4-FFF2-40B4-BE49-F238E27FC236}">
              <a16:creationId xmlns:a16="http://schemas.microsoft.com/office/drawing/2014/main" id="{00000000-0008-0000-0200-000006000000}"/>
            </a:ext>
          </a:extLst>
        </xdr:cNvPr>
        <xdr:cNvSpPr/>
      </xdr:nvSpPr>
      <xdr:spPr>
        <a:xfrm>
          <a:off x="6745246" y="1252568"/>
          <a:ext cx="3951730" cy="696677"/>
        </a:xfrm>
        <a:prstGeom prst="rect">
          <a:avLst/>
        </a:prstGeom>
        <a:solidFill>
          <a:schemeClr val="bg1">
            <a:lumMod val="8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2000" b="1" baseline="0">
              <a:solidFill>
                <a:schemeClr val="tx1"/>
              </a:solidFill>
              <a:latin typeface="Arial" panose="020B0604020202020204" pitchFamily="34" charset="0"/>
              <a:cs typeface="Arial" panose="020B0604020202020204" pitchFamily="34" charset="0"/>
            </a:rPr>
            <a:t>Input Category Weights</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59999389629810485"/>
    <pageSetUpPr fitToPage="1"/>
  </sheetPr>
  <dimension ref="B2:V36"/>
  <sheetViews>
    <sheetView showGridLines="0" showRowColHeaders="0" tabSelected="1" zoomScale="65" zoomScaleNormal="65" workbookViewId="0">
      <selection activeCell="N13" sqref="N13"/>
    </sheetView>
  </sheetViews>
  <sheetFormatPr defaultRowHeight="15" x14ac:dyDescent="0.25"/>
  <cols>
    <col min="1" max="1" width="10.28515625" customWidth="1"/>
    <col min="2" max="2" width="14" customWidth="1"/>
    <col min="3" max="3" width="23.28515625" customWidth="1"/>
    <col min="6" max="6" width="21.140625" customWidth="1"/>
    <col min="8" max="8" width="9.140625" customWidth="1"/>
    <col min="9" max="9" width="18.140625" customWidth="1"/>
    <col min="11" max="11" width="3" customWidth="1"/>
    <col min="12" max="12" width="9.140625" customWidth="1"/>
    <col min="13" max="13" width="15.7109375" customWidth="1"/>
    <col min="14" max="14" width="14.7109375" customWidth="1"/>
    <col min="15" max="15" width="3.5703125" customWidth="1"/>
    <col min="16" max="16" width="10.140625" customWidth="1"/>
    <col min="17" max="17" width="14.7109375" customWidth="1"/>
  </cols>
  <sheetData>
    <row r="2" spans="2:22" ht="26.25" x14ac:dyDescent="0.4">
      <c r="B2" s="165" t="s">
        <v>0</v>
      </c>
      <c r="C2" s="165"/>
      <c r="D2" s="165"/>
      <c r="E2" s="165"/>
      <c r="F2" s="165"/>
      <c r="G2" s="165"/>
      <c r="H2" s="165"/>
      <c r="I2" s="165"/>
      <c r="J2" s="15"/>
      <c r="R2" s="123" t="s">
        <v>1</v>
      </c>
    </row>
    <row r="3" spans="2:22" ht="11.25" customHeight="1" x14ac:dyDescent="0.4">
      <c r="B3" s="16"/>
      <c r="C3" s="16"/>
      <c r="D3" s="16"/>
      <c r="E3" s="16"/>
      <c r="F3" s="16"/>
      <c r="G3" s="16"/>
      <c r="H3" s="16"/>
      <c r="I3" s="16"/>
      <c r="J3" s="15"/>
    </row>
    <row r="4" spans="2:22" ht="26.25" x14ac:dyDescent="0.4">
      <c r="B4" s="166" t="s">
        <v>2</v>
      </c>
      <c r="C4" s="166"/>
      <c r="D4" s="16"/>
      <c r="E4" s="16"/>
      <c r="F4" s="16"/>
      <c r="G4" s="16"/>
      <c r="H4" s="16"/>
      <c r="I4" s="16"/>
      <c r="J4" s="16"/>
    </row>
    <row r="5" spans="2:22" ht="4.5" customHeight="1" thickBot="1" x14ac:dyDescent="0.3">
      <c r="B5" s="22"/>
      <c r="C5" s="22"/>
      <c r="D5" s="22"/>
      <c r="E5" s="22"/>
      <c r="F5" s="22"/>
      <c r="G5" s="22"/>
      <c r="H5" s="22"/>
      <c r="I5" s="22"/>
      <c r="J5" s="22"/>
    </row>
    <row r="6" spans="2:22" ht="18.75" customHeight="1" thickBot="1" x14ac:dyDescent="0.3">
      <c r="B6" s="173" t="s">
        <v>3</v>
      </c>
      <c r="C6" s="174"/>
      <c r="D6" s="174"/>
      <c r="E6" s="174"/>
      <c r="F6" s="175"/>
      <c r="G6" s="173" t="s">
        <v>4</v>
      </c>
      <c r="H6" s="174"/>
      <c r="I6" s="175"/>
    </row>
    <row r="7" spans="2:22" ht="24.95" customHeight="1" thickBot="1" x14ac:dyDescent="0.3">
      <c r="B7" s="167"/>
      <c r="C7" s="168"/>
      <c r="D7" s="168"/>
      <c r="E7" s="168"/>
      <c r="F7" s="169"/>
      <c r="G7" s="167"/>
      <c r="H7" s="168"/>
      <c r="I7" s="169"/>
      <c r="L7" s="17"/>
      <c r="M7" s="18"/>
      <c r="N7" s="18"/>
      <c r="O7" s="18"/>
      <c r="P7" s="18"/>
      <c r="Q7" s="18"/>
      <c r="R7" s="18"/>
      <c r="S7" s="18"/>
      <c r="T7" s="18"/>
      <c r="U7" s="18"/>
      <c r="V7" s="19"/>
    </row>
    <row r="8" spans="2:22" ht="15.75" customHeight="1" x14ac:dyDescent="0.25">
      <c r="B8" s="173" t="s">
        <v>5</v>
      </c>
      <c r="C8" s="175"/>
      <c r="D8" s="173" t="s">
        <v>6</v>
      </c>
      <c r="E8" s="174"/>
      <c r="F8" s="175"/>
      <c r="G8" s="173" t="s">
        <v>7</v>
      </c>
      <c r="H8" s="174"/>
      <c r="I8" s="175"/>
      <c r="L8" s="20"/>
      <c r="M8" s="183" t="s">
        <v>8</v>
      </c>
      <c r="N8" s="183"/>
      <c r="O8" s="183"/>
      <c r="P8" s="183"/>
      <c r="V8" s="21"/>
    </row>
    <row r="9" spans="2:22" ht="24.95" customHeight="1" thickBot="1" x14ac:dyDescent="0.3">
      <c r="B9" s="167"/>
      <c r="C9" s="169"/>
      <c r="D9" s="167"/>
      <c r="E9" s="168"/>
      <c r="F9" s="169"/>
      <c r="G9" s="167"/>
      <c r="H9" s="168"/>
      <c r="I9" s="169"/>
      <c r="L9" s="20"/>
      <c r="V9" s="21"/>
    </row>
    <row r="10" spans="2:22" ht="23.25" customHeight="1" x14ac:dyDescent="0.25">
      <c r="B10" s="186"/>
      <c r="C10" s="186"/>
      <c r="D10" s="22"/>
      <c r="E10" s="187"/>
      <c r="F10" s="187"/>
      <c r="G10" s="187"/>
      <c r="H10" s="22"/>
      <c r="I10" s="22"/>
      <c r="J10" s="22"/>
      <c r="K10" s="22"/>
      <c r="L10" s="20"/>
      <c r="V10" s="21"/>
    </row>
    <row r="11" spans="2:22" ht="20.25" x14ac:dyDescent="0.3">
      <c r="B11" s="27" t="s">
        <v>9</v>
      </c>
      <c r="C11" s="27"/>
      <c r="D11" s="27"/>
      <c r="E11" s="22"/>
      <c r="F11" s="22"/>
      <c r="G11" s="22"/>
      <c r="H11" s="22"/>
      <c r="I11" s="22"/>
      <c r="J11" s="22"/>
      <c r="K11" s="22"/>
      <c r="L11" s="20"/>
      <c r="M11" s="182" t="s">
        <v>10</v>
      </c>
      <c r="N11" s="182"/>
      <c r="O11" s="182"/>
      <c r="P11" s="182"/>
      <c r="Q11" s="182"/>
      <c r="R11" s="182"/>
      <c r="S11" s="182"/>
      <c r="T11" s="182"/>
      <c r="U11" s="182"/>
      <c r="V11" s="185"/>
    </row>
    <row r="12" spans="2:22" ht="6" customHeight="1" thickBot="1" x14ac:dyDescent="0.3">
      <c r="B12" s="22"/>
      <c r="C12" s="22"/>
      <c r="D12" s="22"/>
      <c r="E12" s="22"/>
      <c r="F12" s="22"/>
      <c r="G12" s="22"/>
      <c r="H12" s="22"/>
      <c r="I12" s="22"/>
      <c r="J12" s="22"/>
      <c r="K12" s="22"/>
      <c r="L12" s="20"/>
      <c r="V12" s="21"/>
    </row>
    <row r="13" spans="2:22" ht="18" customHeight="1" thickBot="1" x14ac:dyDescent="0.3">
      <c r="B13" s="173" t="s">
        <v>11</v>
      </c>
      <c r="C13" s="174"/>
      <c r="D13" s="174"/>
      <c r="E13" s="174"/>
      <c r="F13" s="174"/>
      <c r="G13" s="174"/>
      <c r="H13" s="174"/>
      <c r="I13" s="175"/>
      <c r="L13" s="20"/>
      <c r="M13" s="22" t="s">
        <v>12</v>
      </c>
      <c r="N13" s="71">
        <v>2023</v>
      </c>
      <c r="P13" s="22" t="s">
        <v>13</v>
      </c>
      <c r="Q13" s="71" t="s">
        <v>14</v>
      </c>
      <c r="V13" s="21"/>
    </row>
    <row r="14" spans="2:22" ht="45" customHeight="1" thickBot="1" x14ac:dyDescent="0.3">
      <c r="B14" s="170"/>
      <c r="C14" s="171"/>
      <c r="D14" s="171"/>
      <c r="E14" s="171"/>
      <c r="F14" s="171"/>
      <c r="G14" s="171"/>
      <c r="H14" s="171"/>
      <c r="I14" s="172"/>
      <c r="L14" s="20"/>
      <c r="V14" s="21"/>
    </row>
    <row r="15" spans="2:22" ht="18.75" customHeight="1" x14ac:dyDescent="0.3">
      <c r="B15" s="173" t="s">
        <v>15</v>
      </c>
      <c r="C15" s="175"/>
      <c r="D15" s="173" t="s">
        <v>16</v>
      </c>
      <c r="E15" s="174"/>
      <c r="F15" s="175"/>
      <c r="G15" s="173" t="s">
        <v>17</v>
      </c>
      <c r="H15" s="174"/>
      <c r="I15" s="175"/>
      <c r="L15" s="23"/>
      <c r="M15" s="184" t="s">
        <v>18</v>
      </c>
      <c r="N15" s="184"/>
      <c r="O15" s="184"/>
      <c r="P15" s="184"/>
      <c r="V15" s="21"/>
    </row>
    <row r="16" spans="2:22" ht="24.95" customHeight="1" thickBot="1" x14ac:dyDescent="0.3">
      <c r="B16" s="167"/>
      <c r="C16" s="169"/>
      <c r="D16" s="167"/>
      <c r="E16" s="168"/>
      <c r="F16" s="169"/>
      <c r="G16" s="167"/>
      <c r="H16" s="168"/>
      <c r="I16" s="169"/>
      <c r="L16" s="20"/>
      <c r="V16" s="21"/>
    </row>
    <row r="17" spans="2:22" ht="18.75" customHeight="1" thickBot="1" x14ac:dyDescent="0.3">
      <c r="B17" s="188" t="s">
        <v>19</v>
      </c>
      <c r="C17" s="189"/>
      <c r="D17" s="173" t="s">
        <v>20</v>
      </c>
      <c r="E17" s="174"/>
      <c r="F17" s="175"/>
      <c r="G17" s="176" t="s">
        <v>21</v>
      </c>
      <c r="H17" s="177"/>
      <c r="I17" s="178"/>
      <c r="L17" s="24"/>
      <c r="M17" s="25"/>
      <c r="N17" s="25"/>
      <c r="O17" s="25"/>
      <c r="P17" s="25"/>
      <c r="Q17" s="25"/>
      <c r="R17" s="25"/>
      <c r="S17" s="25"/>
      <c r="T17" s="25"/>
      <c r="U17" s="25"/>
      <c r="V17" s="26"/>
    </row>
    <row r="18" spans="2:22" ht="24.95" customHeight="1" thickBot="1" x14ac:dyDescent="0.3">
      <c r="B18" s="167"/>
      <c r="C18" s="169"/>
      <c r="D18" s="167"/>
      <c r="E18" s="168"/>
      <c r="F18" s="169"/>
      <c r="G18" s="167"/>
      <c r="H18" s="168"/>
      <c r="I18" s="169"/>
    </row>
    <row r="19" spans="2:22" ht="11.25" customHeight="1" x14ac:dyDescent="0.25"/>
    <row r="20" spans="2:22" ht="23.25" customHeight="1" x14ac:dyDescent="0.4">
      <c r="B20" s="166" t="s">
        <v>22</v>
      </c>
      <c r="C20" s="166"/>
      <c r="D20" s="166"/>
      <c r="E20" s="16"/>
      <c r="F20" s="16"/>
      <c r="G20" s="16"/>
      <c r="H20" s="16"/>
      <c r="I20" s="16"/>
    </row>
    <row r="21" spans="2:22" ht="5.25" customHeight="1" thickBot="1" x14ac:dyDescent="0.3">
      <c r="B21" s="22"/>
      <c r="C21" s="22"/>
      <c r="D21" s="22"/>
      <c r="E21" s="22"/>
      <c r="F21" s="22"/>
      <c r="G21" s="22"/>
      <c r="H21" s="22"/>
      <c r="I21" s="22"/>
    </row>
    <row r="22" spans="2:22" ht="19.5" customHeight="1" x14ac:dyDescent="0.25">
      <c r="B22" s="173" t="s">
        <v>23</v>
      </c>
      <c r="C22" s="175"/>
      <c r="D22" s="173" t="s">
        <v>24</v>
      </c>
      <c r="E22" s="174"/>
      <c r="F22" s="175"/>
      <c r="G22" s="173" t="s">
        <v>25</v>
      </c>
      <c r="H22" s="174"/>
      <c r="I22" s="175"/>
    </row>
    <row r="23" spans="2:22" ht="24.95" customHeight="1" thickBot="1" x14ac:dyDescent="0.3">
      <c r="B23" s="167"/>
      <c r="C23" s="169"/>
      <c r="D23" s="167"/>
      <c r="E23" s="168"/>
      <c r="F23" s="169"/>
      <c r="G23" s="167"/>
      <c r="H23" s="168"/>
      <c r="I23" s="169"/>
    </row>
    <row r="24" spans="2:22" ht="18" customHeight="1" x14ac:dyDescent="0.25">
      <c r="B24" s="173" t="s">
        <v>26</v>
      </c>
      <c r="C24" s="174"/>
      <c r="D24" s="174"/>
      <c r="E24" s="174"/>
      <c r="F24" s="174"/>
      <c r="G24" s="174"/>
      <c r="H24" s="174"/>
      <c r="I24" s="175"/>
    </row>
    <row r="25" spans="2:22" ht="45" customHeight="1" thickBot="1" x14ac:dyDescent="0.3">
      <c r="B25" s="170"/>
      <c r="C25" s="171"/>
      <c r="D25" s="171"/>
      <c r="E25" s="171"/>
      <c r="F25" s="171"/>
      <c r="G25" s="171"/>
      <c r="H25" s="171"/>
      <c r="I25" s="172"/>
    </row>
    <row r="26" spans="2:22" ht="7.5" customHeight="1" x14ac:dyDescent="0.25"/>
    <row r="27" spans="2:22" ht="26.25" x14ac:dyDescent="0.4">
      <c r="B27" s="166" t="s">
        <v>27</v>
      </c>
      <c r="C27" s="166"/>
      <c r="D27" s="179" t="s">
        <v>28</v>
      </c>
      <c r="E27" s="180"/>
      <c r="F27" s="180"/>
      <c r="G27" s="180"/>
      <c r="H27" s="16"/>
      <c r="I27" s="16"/>
      <c r="J27" s="16"/>
    </row>
    <row r="28" spans="2:22" ht="0.75" customHeight="1" thickBot="1" x14ac:dyDescent="0.45">
      <c r="G28" s="16"/>
      <c r="H28" s="16"/>
      <c r="I28" s="16"/>
      <c r="J28" s="16"/>
    </row>
    <row r="29" spans="2:22" ht="29.25" hidden="1" customHeight="1" thickBot="1" x14ac:dyDescent="0.45">
      <c r="B29" s="22" t="s">
        <v>29</v>
      </c>
      <c r="C29" s="28" t="str">
        <f>IFERROR(Table!P3,"Not Yet Rated")</f>
        <v>0</v>
      </c>
      <c r="G29" s="16"/>
      <c r="H29" s="16"/>
      <c r="I29" s="16"/>
      <c r="J29" s="16"/>
    </row>
    <row r="30" spans="2:22" ht="29.25" customHeight="1" thickBot="1" x14ac:dyDescent="0.45">
      <c r="B30" s="22" t="s">
        <v>29</v>
      </c>
      <c r="C30" s="164" t="str">
        <f>Table!P3</f>
        <v>0</v>
      </c>
      <c r="G30" s="16"/>
      <c r="H30" s="16"/>
      <c r="I30" s="16"/>
      <c r="J30" s="16"/>
    </row>
    <row r="31" spans="2:22" ht="29.25" customHeight="1" x14ac:dyDescent="0.35">
      <c r="B31" s="182"/>
      <c r="C31" s="182"/>
      <c r="D31" s="181" t="s">
        <v>30</v>
      </c>
      <c r="E31" s="181"/>
      <c r="F31" s="181"/>
      <c r="G31" s="181"/>
      <c r="H31" s="29"/>
      <c r="I31" s="29"/>
      <c r="J31" s="29"/>
    </row>
    <row r="33" spans="3:3" ht="12.75" customHeight="1" x14ac:dyDescent="0.25">
      <c r="C33" s="30"/>
    </row>
    <row r="35" spans="3:3" ht="11.25" customHeight="1" x14ac:dyDescent="0.25"/>
    <row r="36" spans="3:3" ht="29.25" customHeight="1" x14ac:dyDescent="0.25"/>
  </sheetData>
  <sheetProtection algorithmName="SHA-512" hashValue="Y0bZW80FFHkhTWt/vLw/k7xxoAvFyvFn8+cxZ+3w425rTcYnchH4Cq3atGobsBe+jiX9f9qUXJS35RQr2o/IjQ==" saltValue="LbatNFC7Ot0AgOPETulQQw==" spinCount="100000" sheet="1" objects="1" scenarios="1"/>
  <mergeCells count="44">
    <mergeCell ref="D31:G31"/>
    <mergeCell ref="B31:C31"/>
    <mergeCell ref="M8:P8"/>
    <mergeCell ref="M15:P15"/>
    <mergeCell ref="M11:V11"/>
    <mergeCell ref="B10:C10"/>
    <mergeCell ref="E10:G10"/>
    <mergeCell ref="B13:I13"/>
    <mergeCell ref="B14:I14"/>
    <mergeCell ref="B15:C15"/>
    <mergeCell ref="D15:F15"/>
    <mergeCell ref="B27:C27"/>
    <mergeCell ref="B17:C17"/>
    <mergeCell ref="B18:C18"/>
    <mergeCell ref="D18:F18"/>
    <mergeCell ref="B16:C16"/>
    <mergeCell ref="D27:G27"/>
    <mergeCell ref="G6:I6"/>
    <mergeCell ref="B8:C8"/>
    <mergeCell ref="D8:F8"/>
    <mergeCell ref="G8:I8"/>
    <mergeCell ref="B6:F6"/>
    <mergeCell ref="B7:F7"/>
    <mergeCell ref="B24:I24"/>
    <mergeCell ref="G22:I22"/>
    <mergeCell ref="B22:C22"/>
    <mergeCell ref="D22:F22"/>
    <mergeCell ref="B23:C23"/>
    <mergeCell ref="D23:F23"/>
    <mergeCell ref="G23:I23"/>
    <mergeCell ref="D17:F17"/>
    <mergeCell ref="B20:D20"/>
    <mergeCell ref="B2:I2"/>
    <mergeCell ref="B4:C4"/>
    <mergeCell ref="G7:I7"/>
    <mergeCell ref="D16:F16"/>
    <mergeCell ref="B25:I25"/>
    <mergeCell ref="G9:I9"/>
    <mergeCell ref="B9:C9"/>
    <mergeCell ref="D9:F9"/>
    <mergeCell ref="G16:I16"/>
    <mergeCell ref="G15:I15"/>
    <mergeCell ref="G17:I17"/>
    <mergeCell ref="G18:I18"/>
  </mergeCells>
  <dataValidations count="2">
    <dataValidation type="list" allowBlank="1" showInputMessage="1" showErrorMessage="1" sqref="Q13" xr:uid="{00000000-0002-0000-0000-000000000000}">
      <formula1>"January, February, March, April, May, June, July, August, September, October, November, December"</formula1>
    </dataValidation>
    <dataValidation type="list" allowBlank="1" showInputMessage="1" showErrorMessage="1" sqref="N13" xr:uid="{00000000-0002-0000-0000-000001000000}">
      <formula1>"2023,2024,2025,2026,2027"</formula1>
    </dataValidation>
  </dataValidations>
  <pageMargins left="0.70866141732283505" right="0.70866141732283505" top="0.74803149606299202" bottom="0.74803149606299202" header="0.31496062992126" footer="0.31496062992126"/>
  <pageSetup scale="79" fitToHeight="0" orientation="portrait" r:id="rId1"/>
  <headerFooter>
    <oddFooter>&amp;C&amp;"Arial,Regular"&amp;12&amp;P&amp;R&amp;"Arial,Regular"&amp;12&amp;D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AC419"/>
  <sheetViews>
    <sheetView showGridLines="0" zoomScaleNormal="100" workbookViewId="0">
      <selection activeCell="H7" sqref="H7"/>
    </sheetView>
  </sheetViews>
  <sheetFormatPr defaultColWidth="9.140625" defaultRowHeight="15" x14ac:dyDescent="0.2"/>
  <cols>
    <col min="1" max="1" width="1.5703125" style="1" customWidth="1"/>
    <col min="2" max="2" width="10.28515625" style="1" customWidth="1"/>
    <col min="3" max="4" width="9.140625" style="1" customWidth="1"/>
    <col min="5" max="6" width="1.42578125" style="1" customWidth="1"/>
    <col min="7" max="7" width="5.28515625" style="37" bestFit="1" customWidth="1"/>
    <col min="8" max="14" width="16.7109375" style="1" customWidth="1"/>
    <col min="15" max="15" width="10.28515625" style="124" hidden="1" customWidth="1"/>
    <col min="16" max="16" width="20.85546875" style="37" customWidth="1"/>
    <col min="17" max="17" width="18.42578125" style="121" hidden="1" customWidth="1"/>
    <col min="18" max="18" width="7.7109375" style="1" hidden="1" customWidth="1"/>
    <col min="19" max="19" width="4.42578125" style="1" hidden="1" customWidth="1"/>
    <col min="20" max="20" width="24.5703125" style="1" hidden="1" customWidth="1"/>
    <col min="21" max="16384" width="9.140625" style="1"/>
  </cols>
  <sheetData>
    <row r="1" spans="2:29" ht="15.75" thickBot="1" x14ac:dyDescent="0.25">
      <c r="K1" s="84"/>
      <c r="L1" s="84"/>
      <c r="M1" s="84"/>
      <c r="O1" s="124" t="s">
        <v>31</v>
      </c>
      <c r="S1" s="121"/>
      <c r="T1" s="121"/>
      <c r="U1" s="121"/>
    </row>
    <row r="2" spans="2:29" ht="16.5" thickBot="1" x14ac:dyDescent="0.3">
      <c r="B2" s="191" t="s">
        <v>8</v>
      </c>
      <c r="C2" s="190"/>
      <c r="D2" s="192"/>
      <c r="G2" s="153"/>
      <c r="H2" s="39" t="s">
        <v>32</v>
      </c>
      <c r="I2" s="39" t="s">
        <v>33</v>
      </c>
      <c r="J2" s="39" t="s">
        <v>34</v>
      </c>
      <c r="K2" s="39" t="s">
        <v>35</v>
      </c>
      <c r="L2" s="39" t="s">
        <v>36</v>
      </c>
      <c r="M2" s="39" t="s">
        <v>37</v>
      </c>
      <c r="N2" s="138" t="s">
        <v>38</v>
      </c>
      <c r="O2" s="134"/>
      <c r="P2" s="145" t="s">
        <v>39</v>
      </c>
      <c r="R2" s="84"/>
      <c r="S2" s="85" t="s">
        <v>40</v>
      </c>
      <c r="T2" s="86" t="s">
        <v>41</v>
      </c>
      <c r="U2" s="121"/>
    </row>
    <row r="3" spans="2:29" ht="16.5" thickBot="1" x14ac:dyDescent="0.3">
      <c r="B3" s="35"/>
      <c r="D3" s="36"/>
      <c r="G3" s="144"/>
      <c r="H3" s="137" t="str">
        <f>IFERROR(  IF( AND(COUNTIF($H$7:$H$274,"N/A") = COUNTA($H$7:$H$274), COUNTA($H$7:$H$274) &gt; 0), "N/A", AVERAGE($H$7:$H$274)), "Not Yet Rated" )</f>
        <v>Not Yet Rated</v>
      </c>
      <c r="I3" s="137" t="str">
        <f>IFERROR(  IF( AND(COUNTIF($I$7:$I$274,"N/A") = COUNTA($I$7:$I$274), COUNTA($I$7:$I$274) &gt; 0), "N/A", AVERAGE($I$7:$I$274)), "Not Yet Rated" )</f>
        <v>Not Yet Rated</v>
      </c>
      <c r="J3" s="137" t="str">
        <f>IFERROR(  IF( AND(COUNTIF($J$7:$J$274,"N/A") = COUNTA($J$7:$J$274), COUNTA($J$7:$J$274) &gt; 0), "N/A", AVERAGE($J$7:$J$274)), "Not Yet Rated" )</f>
        <v>Not Yet Rated</v>
      </c>
      <c r="K3" s="137" t="str">
        <f>IFERROR(  IF( AND(COUNTIF($K$7:$K$274,"N/A") = COUNTA($K$7:$K$274), COUNTA($K$7:$K$274) &gt; 0), "N/A", AVERAGE($K$7:$K$274)), "Not Yet Rated" )</f>
        <v>Not Yet Rated</v>
      </c>
      <c r="L3" s="137" t="str">
        <f>IFERROR(  IF( AND(COUNTIF($L$7:$L$274,"N/A") = COUNTA($L$7:$L$274), COUNTA($L$7:$L$274) &gt; 0), "N/A", AVERAGE($L$7:$L$274)), "Not Yet Rated" )</f>
        <v>Not Yet Rated</v>
      </c>
      <c r="M3" s="137" t="str">
        <f>IFERROR(  IF( AND(COUNTIF($M$7:$M$274,"N/A") = COUNTA($M$7:$M$274), COUNTA($M$7:$M$274) &gt; 0), "N/A", AVERAGE($M$7:$M$274)), "Not Yet Rated" )</f>
        <v>Not Yet Rated</v>
      </c>
      <c r="N3" s="139">
        <f>IF( COUNTIF($N$7:$N$274,"Fail") &gt; 0, 0, 0 )</f>
        <v>0</v>
      </c>
      <c r="O3" s="135"/>
      <c r="P3" s="156" t="str">
        <f>T6</f>
        <v>0</v>
      </c>
      <c r="R3" s="133"/>
      <c r="S3" s="87">
        <v>0</v>
      </c>
      <c r="T3" s="87">
        <v>1</v>
      </c>
      <c r="U3" s="121"/>
    </row>
    <row r="4" spans="2:29" x14ac:dyDescent="0.2">
      <c r="B4" s="158" t="s">
        <v>32</v>
      </c>
      <c r="C4" s="159">
        <v>15</v>
      </c>
      <c r="D4" s="160" t="b">
        <f>IF(OR(ISBLANK(C_1_Weight)=TRUE,ISNUMBER(C_1_Weight)=TRUE),TRUE,FALSE)</f>
        <v>1</v>
      </c>
      <c r="H4" s="37"/>
      <c r="I4" s="37"/>
      <c r="J4" s="37"/>
      <c r="K4" s="37"/>
      <c r="L4" s="37"/>
      <c r="M4" s="37"/>
      <c r="N4" s="37"/>
      <c r="R4" s="84"/>
      <c r="S4" s="87">
        <v>1</v>
      </c>
      <c r="T4" s="87">
        <v>1</v>
      </c>
      <c r="U4" s="121"/>
    </row>
    <row r="5" spans="2:29" ht="15.75" thickBot="1" x14ac:dyDescent="0.25">
      <c r="B5" s="158" t="s">
        <v>33</v>
      </c>
      <c r="C5" s="159">
        <v>15</v>
      </c>
      <c r="D5" s="160" t="b">
        <f>IF(OR(ISBLANK(C_2_Weight)=TRUE,ISNUMBER(C_2_Weight)=TRUE),TRUE,FALSE)</f>
        <v>1</v>
      </c>
      <c r="H5" s="37"/>
      <c r="I5" s="37"/>
      <c r="J5" s="37"/>
      <c r="K5" s="37"/>
      <c r="L5" s="37"/>
      <c r="M5" s="37"/>
      <c r="O5" s="127"/>
      <c r="P5" s="127"/>
      <c r="Q5" s="84"/>
      <c r="R5" s="84"/>
      <c r="S5" s="128"/>
      <c r="T5" s="130" t="s">
        <v>42</v>
      </c>
      <c r="U5" s="84"/>
      <c r="V5" s="84"/>
      <c r="W5" s="84"/>
      <c r="X5" s="84"/>
    </row>
    <row r="6" spans="2:29" ht="16.5" thickBot="1" x14ac:dyDescent="0.3">
      <c r="B6" s="158" t="s">
        <v>34</v>
      </c>
      <c r="C6" s="159">
        <v>20</v>
      </c>
      <c r="D6" s="160" t="b">
        <f>IF(OR(ISBLANK(C_3_Weight)=TRUE,ISNUMBER(C_3_Weight)=TRUE),TRUE,FALSE)</f>
        <v>1</v>
      </c>
      <c r="G6" s="155" t="s">
        <v>43</v>
      </c>
      <c r="H6" s="190" t="s">
        <v>44</v>
      </c>
      <c r="I6" s="190"/>
      <c r="J6" s="190"/>
      <c r="K6" s="190"/>
      <c r="L6" s="190"/>
      <c r="M6" s="190"/>
      <c r="N6" s="190"/>
      <c r="O6" s="142"/>
      <c r="P6" s="152" t="s">
        <v>45</v>
      </c>
      <c r="Q6" s="143"/>
      <c r="R6" s="125">
        <f>SUM(P7:P274)</f>
        <v>0</v>
      </c>
      <c r="S6" s="128">
        <f>COUNTIF(P7:P274,"&gt;0")</f>
        <v>0</v>
      </c>
      <c r="T6" s="132" t="str">
        <f>IF(AND(R6=0,S6=0),"0",R6/S6)</f>
        <v>0</v>
      </c>
      <c r="U6" s="84"/>
      <c r="V6" s="84"/>
      <c r="W6" s="84"/>
      <c r="X6" s="84"/>
    </row>
    <row r="7" spans="2:29" ht="15.75" x14ac:dyDescent="0.25">
      <c r="B7" s="158" t="s">
        <v>35</v>
      </c>
      <c r="C7" s="159">
        <v>15</v>
      </c>
      <c r="D7" s="160" t="b">
        <f>IF(OR(ISBLANK(C_4_Weight)=TRUE,ISNUMBER(C_4_Weight)=TRUE),TRUE,FALSE)</f>
        <v>1</v>
      </c>
      <c r="G7" s="154">
        <v>1</v>
      </c>
      <c r="H7" s="146"/>
      <c r="I7" s="120"/>
      <c r="J7" s="120"/>
      <c r="K7" s="120"/>
      <c r="L7" s="120"/>
      <c r="M7" s="120"/>
      <c r="N7" s="37"/>
      <c r="O7" s="129">
        <f>IF( COUNTIF($N7:$N7,"Fail") &gt; 0, -0.2, 0 )</f>
        <v>0</v>
      </c>
      <c r="P7" s="157">
        <f>IFERROR( IF(   ($Q7) &lt; 0, 0,   ($Q7)   ), "Not Yet Rated")*5</f>
        <v>0</v>
      </c>
      <c r="Q7" s="125">
        <f t="shared" ref="Q7:Q70" si="0" xml:space="preserve"> IFERROR(   ( (  IF($H7 = "N/A",  0, $H7) + IF($I7 = "N/A",  0, $I7) + IF($J7 = "N/A",  0, $J7) + IF($K7 = "N/A",  0, $K7) + IF($L7 = "N/A",  0, $L7) + IF($M7 = "N/A",  0, $M7)  )*100 / (  IF($H7 = "N/A",  0, C_1_Weight) + IF($I7 = "N/A",  0, C_2_Weight) + IF($J7 = "N/A",  0, C_3_Weight) + IF($K7 = "N/A",  0, C_4_Weight) + IF($L7 = "N/A",  0, C_5_Weight) + IF($M7 = "N/A",  0, C_6_Weight)  ) +$O7 ), "Not Yet Rated")</f>
        <v>0</v>
      </c>
      <c r="R7" s="126"/>
      <c r="S7" s="128"/>
      <c r="T7" s="128"/>
      <c r="U7" s="84"/>
      <c r="V7" s="84"/>
      <c r="W7" s="84"/>
      <c r="X7" s="84"/>
    </row>
    <row r="8" spans="2:29" ht="15.75" x14ac:dyDescent="0.25">
      <c r="B8" s="158" t="s">
        <v>36</v>
      </c>
      <c r="C8" s="159">
        <v>25</v>
      </c>
      <c r="D8" s="160" t="b">
        <f>IF(OR(ISBLANK(C_5_Weight)=TRUE,ISNUMBER(C_5_Weight)=TRUE),TRUE,FALSE)</f>
        <v>1</v>
      </c>
      <c r="G8" s="154">
        <v>2</v>
      </c>
      <c r="H8" s="147"/>
      <c r="I8" s="120"/>
      <c r="J8" s="120"/>
      <c r="K8" s="120"/>
      <c r="L8" s="120"/>
      <c r="M8" s="120"/>
      <c r="N8" s="37"/>
      <c r="O8" s="129">
        <f t="shared" ref="O8:O71" si="1">IF( COUNTIF($N8:$N8,"Fail") &gt; 0, -0.2, 0 )</f>
        <v>0</v>
      </c>
      <c r="P8" s="157">
        <f t="shared" ref="P8:P71" si="2">IFERROR( IF(   ($Q8) &lt; 0, 0,   ($Q8)   ), "Not Yet Rated")*5</f>
        <v>0</v>
      </c>
      <c r="Q8" s="125">
        <f t="shared" si="0"/>
        <v>0</v>
      </c>
      <c r="R8" s="84"/>
      <c r="S8" s="128"/>
      <c r="T8" s="128"/>
      <c r="U8" s="84"/>
      <c r="V8" s="84"/>
      <c r="W8" s="84"/>
      <c r="X8" s="84"/>
    </row>
    <row r="9" spans="2:29" ht="15.75" x14ac:dyDescent="0.25">
      <c r="B9" s="158" t="s">
        <v>37</v>
      </c>
      <c r="C9" s="159">
        <v>10</v>
      </c>
      <c r="D9" s="160" t="b">
        <f>IF(OR(ISBLANK(C_6_Weight)=TRUE,ISNUMBER(C_6_Weight)=TRUE),TRUE,FALSE)</f>
        <v>1</v>
      </c>
      <c r="G9" s="154">
        <v>3</v>
      </c>
      <c r="H9" s="147"/>
      <c r="I9" s="120"/>
      <c r="J9" s="120"/>
      <c r="K9" s="120"/>
      <c r="L9" s="120"/>
      <c r="M9" s="120"/>
      <c r="N9" s="37"/>
      <c r="O9" s="129">
        <f t="shared" si="1"/>
        <v>0</v>
      </c>
      <c r="P9" s="157">
        <f t="shared" si="2"/>
        <v>0</v>
      </c>
      <c r="Q9" s="125">
        <f t="shared" si="0"/>
        <v>0</v>
      </c>
      <c r="R9" s="84"/>
      <c r="S9" s="128"/>
      <c r="T9" s="128"/>
      <c r="U9" s="84"/>
      <c r="V9" s="84"/>
      <c r="W9" s="84"/>
      <c r="X9" s="84"/>
    </row>
    <row r="10" spans="2:29" ht="15.75" x14ac:dyDescent="0.25">
      <c r="B10" s="158"/>
      <c r="C10" s="159"/>
      <c r="D10" s="160"/>
      <c r="G10" s="154">
        <v>4</v>
      </c>
      <c r="H10" s="147"/>
      <c r="I10" s="120"/>
      <c r="J10" s="120"/>
      <c r="K10" s="120"/>
      <c r="L10" s="120"/>
      <c r="M10" s="120"/>
      <c r="N10" s="37"/>
      <c r="O10" s="129">
        <f t="shared" si="1"/>
        <v>0</v>
      </c>
      <c r="P10" s="157">
        <f t="shared" si="2"/>
        <v>0</v>
      </c>
      <c r="Q10" s="125">
        <f t="shared" si="0"/>
        <v>0</v>
      </c>
      <c r="R10" s="84"/>
      <c r="S10" s="128"/>
      <c r="T10" s="128"/>
      <c r="U10" s="84"/>
      <c r="V10" s="84"/>
      <c r="W10" s="84"/>
      <c r="X10" s="84"/>
    </row>
    <row r="11" spans="2:29" ht="16.5" thickBot="1" x14ac:dyDescent="0.3">
      <c r="B11" s="161" t="s">
        <v>46</v>
      </c>
      <c r="C11" s="162">
        <f>SUM(C4:C10)</f>
        <v>100</v>
      </c>
      <c r="D11" s="163"/>
      <c r="G11" s="154">
        <v>5</v>
      </c>
      <c r="H11" s="147"/>
      <c r="I11" s="120"/>
      <c r="J11" s="120"/>
      <c r="K11" s="120"/>
      <c r="L11" s="120"/>
      <c r="M11" s="120"/>
      <c r="N11" s="37"/>
      <c r="O11" s="129">
        <f t="shared" si="1"/>
        <v>0</v>
      </c>
      <c r="P11" s="157">
        <f t="shared" si="2"/>
        <v>0</v>
      </c>
      <c r="Q11" s="125">
        <f t="shared" si="0"/>
        <v>0</v>
      </c>
      <c r="R11" s="84"/>
      <c r="S11" s="128"/>
      <c r="T11" s="128"/>
      <c r="U11" s="84"/>
      <c r="V11" s="84"/>
      <c r="W11" s="84"/>
      <c r="X11" s="84"/>
      <c r="Y11" s="84"/>
      <c r="Z11" s="84"/>
      <c r="AA11" s="84"/>
      <c r="AB11" s="84"/>
      <c r="AC11" s="84"/>
    </row>
    <row r="12" spans="2:29" ht="15.75" x14ac:dyDescent="0.25">
      <c r="B12" s="121"/>
      <c r="C12" s="121"/>
      <c r="D12" s="121"/>
      <c r="G12" s="154">
        <v>6</v>
      </c>
      <c r="H12" s="147"/>
      <c r="I12" s="120"/>
      <c r="J12" s="37"/>
      <c r="K12" s="120"/>
      <c r="L12" s="120"/>
      <c r="M12" s="120"/>
      <c r="N12" s="37"/>
      <c r="O12" s="129">
        <f t="shared" si="1"/>
        <v>0</v>
      </c>
      <c r="P12" s="157">
        <f t="shared" si="2"/>
        <v>0</v>
      </c>
      <c r="Q12" s="125">
        <f t="shared" si="0"/>
        <v>0</v>
      </c>
      <c r="R12" s="84"/>
      <c r="S12" s="128"/>
      <c r="T12" s="128"/>
      <c r="U12" s="84"/>
      <c r="V12" s="84"/>
      <c r="W12" s="84"/>
      <c r="X12" s="84"/>
      <c r="Y12" s="84"/>
      <c r="Z12" s="84"/>
      <c r="AA12" s="84"/>
      <c r="AB12" s="84"/>
      <c r="AC12" s="84"/>
    </row>
    <row r="13" spans="2:29" ht="15.75" x14ac:dyDescent="0.25">
      <c r="B13" s="193" t="s">
        <v>47</v>
      </c>
      <c r="C13" s="193"/>
      <c r="D13" s="193"/>
      <c r="G13" s="154">
        <v>7</v>
      </c>
      <c r="H13" s="147"/>
      <c r="I13" s="120"/>
      <c r="J13" s="120"/>
      <c r="K13" s="120"/>
      <c r="L13" s="120"/>
      <c r="M13" s="120"/>
      <c r="N13" s="37"/>
      <c r="O13" s="129">
        <f t="shared" si="1"/>
        <v>0</v>
      </c>
      <c r="P13" s="157">
        <f t="shared" si="2"/>
        <v>0</v>
      </c>
      <c r="Q13" s="125">
        <f t="shared" si="0"/>
        <v>0</v>
      </c>
      <c r="R13" s="84"/>
      <c r="S13" s="128"/>
      <c r="T13" s="128"/>
      <c r="U13" s="84"/>
      <c r="V13" s="84"/>
      <c r="W13" s="84"/>
      <c r="X13" s="84"/>
      <c r="Y13" s="84"/>
      <c r="Z13" s="195"/>
      <c r="AA13" s="195"/>
      <c r="AB13" s="84"/>
      <c r="AC13" s="84"/>
    </row>
    <row r="14" spans="2:29" ht="15.75" x14ac:dyDescent="0.25">
      <c r="B14" s="194" t="s">
        <v>48</v>
      </c>
      <c r="C14" s="194"/>
      <c r="D14" s="121" t="b">
        <v>1</v>
      </c>
      <c r="G14" s="154">
        <v>8</v>
      </c>
      <c r="H14" s="148"/>
      <c r="I14" s="37"/>
      <c r="J14" s="37"/>
      <c r="K14" s="37"/>
      <c r="L14" s="37"/>
      <c r="M14" s="37"/>
      <c r="N14" s="37"/>
      <c r="O14" s="129">
        <f t="shared" si="1"/>
        <v>0</v>
      </c>
      <c r="P14" s="157">
        <f t="shared" si="2"/>
        <v>0</v>
      </c>
      <c r="Q14" s="125">
        <f t="shared" si="0"/>
        <v>0</v>
      </c>
      <c r="R14" s="84"/>
      <c r="S14" s="128"/>
      <c r="T14" s="128"/>
      <c r="U14" s="84"/>
      <c r="V14" s="84"/>
      <c r="W14" s="84"/>
      <c r="X14" s="84"/>
      <c r="Y14" s="84"/>
      <c r="Z14" s="131"/>
      <c r="AA14" s="84"/>
      <c r="AB14" s="84"/>
      <c r="AC14" s="84"/>
    </row>
    <row r="15" spans="2:29" ht="15.75" x14ac:dyDescent="0.25">
      <c r="B15" s="194" t="s">
        <v>49</v>
      </c>
      <c r="C15" s="194"/>
      <c r="D15" s="124" t="b">
        <v>0</v>
      </c>
      <c r="E15" s="121"/>
      <c r="G15" s="154">
        <v>9</v>
      </c>
      <c r="H15" s="148"/>
      <c r="I15" s="37"/>
      <c r="J15" s="37"/>
      <c r="K15" s="37"/>
      <c r="L15" s="37"/>
      <c r="M15" s="37"/>
      <c r="N15" s="37"/>
      <c r="O15" s="129">
        <f t="shared" si="1"/>
        <v>0</v>
      </c>
      <c r="P15" s="157">
        <f t="shared" si="2"/>
        <v>0</v>
      </c>
      <c r="Q15" s="125">
        <f t="shared" si="0"/>
        <v>0</v>
      </c>
      <c r="R15" s="84"/>
      <c r="S15" s="128"/>
      <c r="T15" s="128"/>
      <c r="U15" s="84"/>
      <c r="V15" s="84"/>
      <c r="W15" s="84"/>
      <c r="X15" s="84"/>
      <c r="Y15" s="84"/>
      <c r="Z15" s="195"/>
      <c r="AA15" s="195"/>
      <c r="AB15" s="84"/>
      <c r="AC15" s="84"/>
    </row>
    <row r="16" spans="2:29" ht="15.75" x14ac:dyDescent="0.25">
      <c r="B16" s="194" t="s">
        <v>50</v>
      </c>
      <c r="C16" s="194"/>
      <c r="D16" s="124" t="b">
        <v>0</v>
      </c>
      <c r="E16" s="121"/>
      <c r="G16" s="154">
        <v>10</v>
      </c>
      <c r="H16" s="148"/>
      <c r="I16" s="37"/>
      <c r="J16" s="37"/>
      <c r="K16" s="37"/>
      <c r="L16" s="37"/>
      <c r="M16" s="37"/>
      <c r="N16" s="37"/>
      <c r="O16" s="129">
        <f t="shared" si="1"/>
        <v>0</v>
      </c>
      <c r="P16" s="157">
        <f t="shared" si="2"/>
        <v>0</v>
      </c>
      <c r="Q16" s="125">
        <f t="shared" si="0"/>
        <v>0</v>
      </c>
      <c r="R16" s="84"/>
      <c r="S16" s="128"/>
      <c r="T16" s="128"/>
      <c r="U16" s="84"/>
      <c r="V16" s="84"/>
      <c r="W16" s="84"/>
      <c r="X16" s="84"/>
      <c r="Y16" s="84"/>
      <c r="Z16" s="131"/>
      <c r="AA16" s="84"/>
      <c r="AB16" s="84"/>
      <c r="AC16" s="84"/>
    </row>
    <row r="17" spans="2:29" ht="15.75" x14ac:dyDescent="0.25">
      <c r="B17" s="121"/>
      <c r="C17" s="121"/>
      <c r="D17" s="121"/>
      <c r="E17" s="121"/>
      <c r="G17" s="154">
        <v>11</v>
      </c>
      <c r="H17" s="148"/>
      <c r="I17" s="37"/>
      <c r="J17" s="37"/>
      <c r="K17" s="37"/>
      <c r="L17" s="37"/>
      <c r="M17" s="37"/>
      <c r="N17" s="37"/>
      <c r="O17" s="129">
        <f t="shared" si="1"/>
        <v>0</v>
      </c>
      <c r="P17" s="157">
        <f t="shared" si="2"/>
        <v>0</v>
      </c>
      <c r="Q17" s="125">
        <f t="shared" si="0"/>
        <v>0</v>
      </c>
      <c r="R17" s="84"/>
      <c r="S17" s="128"/>
      <c r="T17" s="128"/>
      <c r="U17" s="84"/>
      <c r="V17" s="84"/>
      <c r="W17" s="84"/>
      <c r="X17" s="84"/>
      <c r="Y17" s="84"/>
      <c r="Z17" s="84"/>
      <c r="AA17" s="84"/>
      <c r="AB17" s="84"/>
      <c r="AC17" s="84"/>
    </row>
    <row r="18" spans="2:29" ht="15.75" x14ac:dyDescent="0.25">
      <c r="B18" s="121" t="s">
        <v>51</v>
      </c>
      <c r="C18" s="121"/>
      <c r="D18" s="121"/>
      <c r="E18" s="121"/>
      <c r="G18" s="154">
        <v>12</v>
      </c>
      <c r="H18" s="148"/>
      <c r="I18" s="37"/>
      <c r="J18" s="37"/>
      <c r="K18" s="37"/>
      <c r="L18" s="37"/>
      <c r="M18" s="37"/>
      <c r="N18" s="37"/>
      <c r="O18" s="129">
        <f t="shared" si="1"/>
        <v>0</v>
      </c>
      <c r="P18" s="157">
        <f t="shared" si="2"/>
        <v>0</v>
      </c>
      <c r="Q18" s="125">
        <f t="shared" si="0"/>
        <v>0</v>
      </c>
      <c r="R18" s="84"/>
      <c r="S18" s="128"/>
      <c r="T18" s="128"/>
      <c r="U18" s="84"/>
      <c r="V18" s="84"/>
      <c r="W18" s="84"/>
      <c r="X18" s="84"/>
      <c r="Y18" s="84"/>
      <c r="Z18" s="84"/>
      <c r="AA18" s="84"/>
      <c r="AB18" s="84"/>
      <c r="AC18" s="84"/>
    </row>
    <row r="19" spans="2:29" ht="15.75" x14ac:dyDescent="0.25">
      <c r="B19" s="193" t="s">
        <v>52</v>
      </c>
      <c r="C19" s="193"/>
      <c r="D19" s="193"/>
      <c r="E19" s="121"/>
      <c r="G19" s="154">
        <v>13</v>
      </c>
      <c r="H19" s="148"/>
      <c r="I19" s="37"/>
      <c r="J19" s="37"/>
      <c r="K19" s="37"/>
      <c r="L19" s="37"/>
      <c r="M19" s="37"/>
      <c r="N19" s="37"/>
      <c r="O19" s="129">
        <f t="shared" si="1"/>
        <v>0</v>
      </c>
      <c r="P19" s="157">
        <f t="shared" si="2"/>
        <v>0</v>
      </c>
      <c r="Q19" s="125">
        <f t="shared" si="0"/>
        <v>0</v>
      </c>
      <c r="R19" s="84"/>
      <c r="S19" s="128"/>
      <c r="T19" s="128"/>
      <c r="U19" s="84"/>
      <c r="V19" s="84"/>
      <c r="W19" s="84"/>
      <c r="X19" s="84"/>
      <c r="Y19" s="84"/>
      <c r="Z19" s="84"/>
      <c r="AA19" s="84"/>
      <c r="AB19" s="84"/>
      <c r="AC19" s="84"/>
    </row>
    <row r="20" spans="2:29" ht="15.75" x14ac:dyDescent="0.25">
      <c r="B20" s="194" t="s">
        <v>53</v>
      </c>
      <c r="C20" s="194"/>
      <c r="D20" s="124" t="b">
        <v>0</v>
      </c>
      <c r="E20" s="121"/>
      <c r="G20" s="154">
        <v>14</v>
      </c>
      <c r="H20" s="148"/>
      <c r="I20" s="37"/>
      <c r="J20" s="37"/>
      <c r="K20" s="37"/>
      <c r="L20" s="37"/>
      <c r="M20" s="37"/>
      <c r="N20" s="37"/>
      <c r="O20" s="129">
        <f t="shared" si="1"/>
        <v>0</v>
      </c>
      <c r="P20" s="157">
        <f t="shared" si="2"/>
        <v>0</v>
      </c>
      <c r="Q20" s="125">
        <f t="shared" si="0"/>
        <v>0</v>
      </c>
      <c r="R20" s="84"/>
      <c r="S20" s="84"/>
      <c r="T20" s="84"/>
      <c r="U20" s="84"/>
      <c r="V20" s="84"/>
      <c r="W20" s="84"/>
      <c r="X20" s="84"/>
      <c r="Y20" s="84"/>
      <c r="Z20" s="84"/>
      <c r="AA20" s="84"/>
      <c r="AB20" s="84"/>
      <c r="AC20" s="84"/>
    </row>
    <row r="21" spans="2:29" ht="15.75" x14ac:dyDescent="0.25">
      <c r="B21" s="194" t="s">
        <v>54</v>
      </c>
      <c r="C21" s="194"/>
      <c r="D21" s="124" t="b">
        <v>0</v>
      </c>
      <c r="E21" s="121"/>
      <c r="G21" s="154">
        <v>15</v>
      </c>
      <c r="H21" s="148"/>
      <c r="I21" s="37"/>
      <c r="J21" s="37"/>
      <c r="K21" s="37"/>
      <c r="L21" s="37"/>
      <c r="M21" s="37"/>
      <c r="N21" s="37"/>
      <c r="O21" s="129">
        <f t="shared" si="1"/>
        <v>0</v>
      </c>
      <c r="P21" s="157">
        <f t="shared" si="2"/>
        <v>0</v>
      </c>
      <c r="Q21" s="125">
        <f t="shared" si="0"/>
        <v>0</v>
      </c>
      <c r="R21" s="84"/>
      <c r="S21" s="121">
        <v>1</v>
      </c>
      <c r="T21" s="84"/>
      <c r="U21" s="84"/>
      <c r="V21" s="84"/>
      <c r="W21" s="84"/>
      <c r="X21" s="84"/>
      <c r="Y21" s="84"/>
      <c r="Z21" s="84"/>
      <c r="AA21" s="84"/>
      <c r="AB21" s="84"/>
      <c r="AC21" s="84"/>
    </row>
    <row r="22" spans="2:29" ht="15.75" x14ac:dyDescent="0.25">
      <c r="B22" s="194" t="s">
        <v>55</v>
      </c>
      <c r="C22" s="194"/>
      <c r="D22" s="124" t="b">
        <v>0</v>
      </c>
      <c r="E22" s="121"/>
      <c r="G22" s="154">
        <v>16</v>
      </c>
      <c r="H22" s="149"/>
      <c r="O22" s="129">
        <f t="shared" si="1"/>
        <v>0</v>
      </c>
      <c r="P22" s="157">
        <f t="shared" si="2"/>
        <v>0</v>
      </c>
      <c r="Q22" s="125">
        <f t="shared" si="0"/>
        <v>0</v>
      </c>
      <c r="R22" s="84"/>
      <c r="S22" s="84"/>
      <c r="T22" s="84"/>
      <c r="U22" s="84"/>
      <c r="V22" s="84"/>
      <c r="W22" s="84"/>
      <c r="X22" s="84"/>
      <c r="Y22" s="84"/>
      <c r="Z22" s="84"/>
      <c r="AA22" s="84"/>
      <c r="AB22" s="84"/>
      <c r="AC22" s="84"/>
    </row>
    <row r="23" spans="2:29" ht="15.75" x14ac:dyDescent="0.25">
      <c r="B23" s="194" t="s">
        <v>56</v>
      </c>
      <c r="C23" s="194"/>
      <c r="D23" s="124" t="b">
        <v>0</v>
      </c>
      <c r="E23" s="121"/>
      <c r="G23" s="154">
        <v>17</v>
      </c>
      <c r="H23" s="149"/>
      <c r="O23" s="129">
        <f t="shared" si="1"/>
        <v>0</v>
      </c>
      <c r="P23" s="157">
        <f t="shared" si="2"/>
        <v>0</v>
      </c>
      <c r="Q23" s="125">
        <f t="shared" si="0"/>
        <v>0</v>
      </c>
      <c r="R23" s="84"/>
      <c r="S23" s="84"/>
      <c r="T23" s="84"/>
      <c r="U23" s="84"/>
      <c r="V23" s="84"/>
      <c r="W23" s="84"/>
      <c r="X23" s="84"/>
      <c r="Y23" s="84"/>
      <c r="Z23" s="84"/>
      <c r="AA23" s="84"/>
      <c r="AB23" s="84"/>
      <c r="AC23" s="84"/>
    </row>
    <row r="24" spans="2:29" ht="15.75" x14ac:dyDescent="0.25">
      <c r="B24" s="194" t="s">
        <v>57</v>
      </c>
      <c r="C24" s="194"/>
      <c r="D24" s="124" t="b">
        <v>0</v>
      </c>
      <c r="E24" s="121"/>
      <c r="G24" s="154">
        <v>18</v>
      </c>
      <c r="H24" s="149"/>
      <c r="O24" s="129">
        <f t="shared" si="1"/>
        <v>0</v>
      </c>
      <c r="P24" s="157">
        <f t="shared" si="2"/>
        <v>0</v>
      </c>
      <c r="Q24" s="125">
        <f t="shared" si="0"/>
        <v>0</v>
      </c>
      <c r="R24" s="84"/>
      <c r="S24" s="84"/>
      <c r="T24" s="84"/>
      <c r="U24" s="84"/>
      <c r="V24" s="84"/>
      <c r="W24" s="84"/>
      <c r="X24" s="84"/>
      <c r="Y24" s="84"/>
      <c r="Z24" s="84"/>
      <c r="AA24" s="84"/>
      <c r="AB24" s="84"/>
      <c r="AC24" s="84"/>
    </row>
    <row r="25" spans="2:29" ht="15.75" x14ac:dyDescent="0.25">
      <c r="B25" s="194" t="s">
        <v>58</v>
      </c>
      <c r="C25" s="194"/>
      <c r="D25" s="124" t="b">
        <v>0</v>
      </c>
      <c r="E25" s="121"/>
      <c r="G25" s="154">
        <v>19</v>
      </c>
      <c r="H25" s="149"/>
      <c r="O25" s="129">
        <f t="shared" si="1"/>
        <v>0</v>
      </c>
      <c r="P25" s="157">
        <f t="shared" si="2"/>
        <v>0</v>
      </c>
      <c r="Q25" s="125">
        <f t="shared" si="0"/>
        <v>0</v>
      </c>
      <c r="R25" s="84"/>
      <c r="S25" s="84"/>
      <c r="T25" s="84"/>
      <c r="U25" s="84"/>
      <c r="V25" s="84"/>
      <c r="W25" s="84"/>
      <c r="X25" s="84"/>
      <c r="Y25" s="84"/>
      <c r="Z25" s="84"/>
      <c r="AA25" s="84"/>
      <c r="AB25" s="84"/>
      <c r="AC25" s="84"/>
    </row>
    <row r="26" spans="2:29" ht="15.75" x14ac:dyDescent="0.25">
      <c r="B26" s="121"/>
      <c r="C26" s="121"/>
      <c r="D26" s="121"/>
      <c r="E26" s="121"/>
      <c r="G26" s="154">
        <v>20</v>
      </c>
      <c r="H26" s="149"/>
      <c r="O26" s="129">
        <f t="shared" si="1"/>
        <v>0</v>
      </c>
      <c r="P26" s="157">
        <f t="shared" si="2"/>
        <v>0</v>
      </c>
      <c r="Q26" s="125">
        <f t="shared" si="0"/>
        <v>0</v>
      </c>
      <c r="R26" s="84"/>
      <c r="S26" s="84"/>
      <c r="T26" s="84"/>
      <c r="U26" s="84"/>
      <c r="V26" s="84"/>
      <c r="W26" s="84"/>
      <c r="X26" s="84"/>
      <c r="Y26" s="84"/>
      <c r="Z26" s="84"/>
      <c r="AA26" s="84"/>
      <c r="AB26" s="84"/>
      <c r="AC26" s="84"/>
    </row>
    <row r="27" spans="2:29" ht="15.75" x14ac:dyDescent="0.25">
      <c r="B27" s="193" t="s">
        <v>59</v>
      </c>
      <c r="C27" s="193"/>
      <c r="D27" s="193"/>
      <c r="E27" s="121"/>
      <c r="G27" s="154">
        <v>21</v>
      </c>
      <c r="H27" s="149"/>
      <c r="O27" s="129">
        <f t="shared" si="1"/>
        <v>0</v>
      </c>
      <c r="P27" s="157">
        <f t="shared" si="2"/>
        <v>0</v>
      </c>
      <c r="Q27" s="125">
        <f t="shared" si="0"/>
        <v>0</v>
      </c>
      <c r="R27" s="84"/>
      <c r="S27" s="84"/>
      <c r="T27" s="84"/>
      <c r="U27" s="84"/>
      <c r="V27" s="84"/>
      <c r="W27" s="84"/>
      <c r="X27" s="84"/>
      <c r="Y27" s="84"/>
      <c r="Z27" s="84"/>
      <c r="AA27" s="84"/>
      <c r="AB27" s="84"/>
      <c r="AC27" s="84"/>
    </row>
    <row r="28" spans="2:29" ht="15.75" x14ac:dyDescent="0.25">
      <c r="B28" s="121" t="s">
        <v>60</v>
      </c>
      <c r="C28" s="121"/>
      <c r="D28" s="121">
        <f>COUNTIF($H$3:$M$3, "N/A")</f>
        <v>0</v>
      </c>
      <c r="E28" s="121"/>
      <c r="G28" s="154">
        <v>22</v>
      </c>
      <c r="H28" s="149"/>
      <c r="O28" s="129">
        <f t="shared" si="1"/>
        <v>0</v>
      </c>
      <c r="P28" s="157">
        <f t="shared" si="2"/>
        <v>0</v>
      </c>
      <c r="Q28" s="125">
        <f t="shared" si="0"/>
        <v>0</v>
      </c>
      <c r="R28" s="84"/>
      <c r="S28" s="84"/>
      <c r="T28" s="84"/>
      <c r="U28" s="84"/>
      <c r="V28" s="84"/>
      <c r="W28" s="84"/>
      <c r="X28" s="84"/>
      <c r="Y28" s="84"/>
      <c r="Z28" s="84"/>
      <c r="AA28" s="84"/>
      <c r="AB28" s="84"/>
      <c r="AC28" s="84"/>
    </row>
    <row r="29" spans="2:29" ht="15.75" x14ac:dyDescent="0.25">
      <c r="B29" s="121" t="s">
        <v>61</v>
      </c>
      <c r="C29" s="121"/>
      <c r="D29" s="136" t="str">
        <f xml:space="preserve"> IFERROR(   ( (  IF($H$3 = "N/A",  0, $H$3) + IF($I$3 = "N/A",  0, $I$3) + IF($J$3 = "N/A",  0, $J$3) + IF($K$3 = "N/A",  0, $K$3) + IF($L$3 = "N/A",  0, $L$3) + IF($M$3 = "N/A",  0, $M$3)  )*100 / (  IF($H$3 = "N/A",  0, C_1_Weight) + IF($I$3 = "N/A",  0, C_2_Weight) + IF($J$3 = "N/A",  0, C_3_Weight) + IF($K$3 = "N/A",  0, C_4_Weight) + IF($L$3 = "N/A",  0, C_5_Weight) + IF($M$3 = "N/A",  0, C_6_Weight)  ) + IF($N$3 = "N/A",  0, $N$3) ), "Not Yet Rated")</f>
        <v>Not Yet Rated</v>
      </c>
      <c r="E29" s="121"/>
      <c r="G29" s="154">
        <v>23</v>
      </c>
      <c r="H29" s="149"/>
      <c r="O29" s="129">
        <f t="shared" si="1"/>
        <v>0</v>
      </c>
      <c r="P29" s="157">
        <f t="shared" si="2"/>
        <v>0</v>
      </c>
      <c r="Q29" s="125">
        <f t="shared" si="0"/>
        <v>0</v>
      </c>
      <c r="R29" s="84"/>
      <c r="S29" s="84"/>
      <c r="T29" s="84"/>
      <c r="U29" s="84"/>
      <c r="V29" s="84"/>
      <c r="W29" s="84"/>
      <c r="X29" s="84"/>
      <c r="Y29" s="84"/>
      <c r="Z29" s="84"/>
      <c r="AA29" s="84"/>
      <c r="AB29" s="84"/>
      <c r="AC29" s="84"/>
    </row>
    <row r="30" spans="2:29" ht="15.75" x14ac:dyDescent="0.25">
      <c r="B30" s="121"/>
      <c r="C30" s="121"/>
      <c r="D30" s="121"/>
      <c r="E30" s="121"/>
      <c r="G30" s="154">
        <v>24</v>
      </c>
      <c r="H30" s="149"/>
      <c r="O30" s="129">
        <f t="shared" si="1"/>
        <v>0</v>
      </c>
      <c r="P30" s="157">
        <f t="shared" si="2"/>
        <v>0</v>
      </c>
      <c r="Q30" s="125">
        <f t="shared" si="0"/>
        <v>0</v>
      </c>
      <c r="R30" s="84"/>
      <c r="S30" s="84"/>
      <c r="T30" s="84"/>
      <c r="U30" s="84"/>
      <c r="V30" s="84"/>
      <c r="W30" s="84"/>
      <c r="X30" s="84"/>
      <c r="Y30" s="84"/>
      <c r="Z30" s="84"/>
      <c r="AA30" s="84"/>
      <c r="AB30" s="84"/>
      <c r="AC30" s="84"/>
    </row>
    <row r="31" spans="2:29" ht="15.75" x14ac:dyDescent="0.25">
      <c r="B31" s="121"/>
      <c r="C31" s="121"/>
      <c r="D31" s="121"/>
      <c r="E31" s="121"/>
      <c r="G31" s="154">
        <v>25</v>
      </c>
      <c r="H31" s="149"/>
      <c r="O31" s="129">
        <f t="shared" si="1"/>
        <v>0</v>
      </c>
      <c r="P31" s="157">
        <f t="shared" si="2"/>
        <v>0</v>
      </c>
      <c r="Q31" s="125">
        <f t="shared" si="0"/>
        <v>0</v>
      </c>
      <c r="R31" s="84"/>
      <c r="S31" s="84"/>
      <c r="T31" s="84"/>
      <c r="U31" s="84"/>
      <c r="V31" s="84"/>
      <c r="W31" s="84"/>
      <c r="X31" s="84"/>
      <c r="Y31" s="84"/>
      <c r="Z31" s="84"/>
      <c r="AA31" s="84"/>
      <c r="AB31" s="84"/>
      <c r="AC31" s="84"/>
    </row>
    <row r="32" spans="2:29" ht="15.75" x14ac:dyDescent="0.25">
      <c r="B32" s="121"/>
      <c r="C32" s="121"/>
      <c r="D32" s="121"/>
      <c r="E32" s="121"/>
      <c r="G32" s="154">
        <v>26</v>
      </c>
      <c r="H32" s="149"/>
      <c r="O32" s="129">
        <f t="shared" si="1"/>
        <v>0</v>
      </c>
      <c r="P32" s="157">
        <f t="shared" si="2"/>
        <v>0</v>
      </c>
      <c r="Q32" s="125">
        <f t="shared" si="0"/>
        <v>0</v>
      </c>
      <c r="R32" s="84"/>
      <c r="S32" s="84"/>
      <c r="T32" s="84"/>
      <c r="U32" s="84"/>
      <c r="V32" s="84"/>
      <c r="W32" s="84"/>
      <c r="X32" s="84"/>
      <c r="Y32" s="84"/>
      <c r="Z32" s="84"/>
      <c r="AA32" s="84"/>
      <c r="AB32" s="84"/>
      <c r="AC32" s="84"/>
    </row>
    <row r="33" spans="2:29" ht="15.75" x14ac:dyDescent="0.25">
      <c r="B33" s="84"/>
      <c r="C33" s="84"/>
      <c r="D33" s="84"/>
      <c r="E33" s="84"/>
      <c r="G33" s="154">
        <v>27</v>
      </c>
      <c r="H33" s="149"/>
      <c r="O33" s="129">
        <f t="shared" si="1"/>
        <v>0</v>
      </c>
      <c r="P33" s="157">
        <f t="shared" si="2"/>
        <v>0</v>
      </c>
      <c r="Q33" s="125">
        <f t="shared" si="0"/>
        <v>0</v>
      </c>
      <c r="R33" s="84"/>
      <c r="S33" s="84"/>
      <c r="T33" s="84"/>
      <c r="U33" s="84"/>
      <c r="V33" s="84"/>
      <c r="W33" s="84"/>
      <c r="X33" s="84"/>
      <c r="Y33" s="84"/>
      <c r="Z33" s="84"/>
      <c r="AA33" s="84"/>
      <c r="AB33" s="84"/>
      <c r="AC33" s="84"/>
    </row>
    <row r="34" spans="2:29" ht="15.75" x14ac:dyDescent="0.25">
      <c r="B34" s="84"/>
      <c r="C34" s="84"/>
      <c r="D34" s="84"/>
      <c r="E34" s="84"/>
      <c r="G34" s="154">
        <v>28</v>
      </c>
      <c r="H34" s="149"/>
      <c r="O34" s="129">
        <f t="shared" si="1"/>
        <v>0</v>
      </c>
      <c r="P34" s="157">
        <f t="shared" si="2"/>
        <v>0</v>
      </c>
      <c r="Q34" s="125">
        <f t="shared" si="0"/>
        <v>0</v>
      </c>
      <c r="R34" s="84"/>
      <c r="S34" s="84"/>
      <c r="T34" s="84"/>
      <c r="U34" s="84"/>
      <c r="V34" s="84"/>
      <c r="W34" s="84"/>
      <c r="X34" s="84"/>
      <c r="Y34" s="84"/>
      <c r="Z34" s="84"/>
      <c r="AA34" s="84"/>
      <c r="AB34" s="84"/>
      <c r="AC34" s="84"/>
    </row>
    <row r="35" spans="2:29" ht="15.75" x14ac:dyDescent="0.25">
      <c r="B35" s="84"/>
      <c r="C35" s="84"/>
      <c r="D35" s="84"/>
      <c r="E35" s="84"/>
      <c r="G35" s="154">
        <v>29</v>
      </c>
      <c r="H35" s="149"/>
      <c r="O35" s="129">
        <f t="shared" si="1"/>
        <v>0</v>
      </c>
      <c r="P35" s="157">
        <f t="shared" si="2"/>
        <v>0</v>
      </c>
      <c r="Q35" s="125">
        <f t="shared" si="0"/>
        <v>0</v>
      </c>
      <c r="R35" s="84"/>
      <c r="S35" s="84"/>
      <c r="T35" s="84"/>
      <c r="U35" s="84"/>
      <c r="V35" s="84"/>
      <c r="W35" s="84"/>
      <c r="X35" s="84"/>
      <c r="Y35" s="84"/>
      <c r="Z35" s="84"/>
      <c r="AA35" s="84"/>
      <c r="AB35" s="84"/>
      <c r="AC35" s="84"/>
    </row>
    <row r="36" spans="2:29" ht="15.75" x14ac:dyDescent="0.25">
      <c r="B36" s="84"/>
      <c r="C36" s="84"/>
      <c r="D36" s="84"/>
      <c r="E36" s="84"/>
      <c r="G36" s="154">
        <v>30</v>
      </c>
      <c r="H36" s="149"/>
      <c r="O36" s="129">
        <f t="shared" si="1"/>
        <v>0</v>
      </c>
      <c r="P36" s="157">
        <f t="shared" si="2"/>
        <v>0</v>
      </c>
      <c r="Q36" s="125">
        <f t="shared" si="0"/>
        <v>0</v>
      </c>
      <c r="R36" s="84"/>
      <c r="S36" s="84"/>
      <c r="T36" s="84"/>
      <c r="U36" s="84"/>
      <c r="V36" s="84"/>
      <c r="W36" s="84"/>
      <c r="X36" s="84"/>
      <c r="Y36" s="84"/>
      <c r="Z36" s="84"/>
      <c r="AA36" s="84"/>
      <c r="AB36" s="84"/>
      <c r="AC36" s="84"/>
    </row>
    <row r="37" spans="2:29" ht="15.75" x14ac:dyDescent="0.25">
      <c r="B37" s="84"/>
      <c r="C37" s="84"/>
      <c r="D37" s="84"/>
      <c r="E37" s="84"/>
      <c r="G37" s="154">
        <v>31</v>
      </c>
      <c r="H37" s="149"/>
      <c r="O37" s="129">
        <f t="shared" si="1"/>
        <v>0</v>
      </c>
      <c r="P37" s="157">
        <f t="shared" si="2"/>
        <v>0</v>
      </c>
      <c r="Q37" s="125">
        <f t="shared" si="0"/>
        <v>0</v>
      </c>
      <c r="R37" s="84"/>
      <c r="S37" s="84"/>
      <c r="T37" s="84"/>
      <c r="U37" s="84"/>
      <c r="V37" s="84"/>
      <c r="W37" s="84"/>
      <c r="X37" s="84"/>
      <c r="Y37" s="84"/>
      <c r="Z37" s="84"/>
      <c r="AA37" s="84"/>
      <c r="AB37" s="84"/>
      <c r="AC37" s="84"/>
    </row>
    <row r="38" spans="2:29" ht="15.75" x14ac:dyDescent="0.25">
      <c r="B38" s="84"/>
      <c r="C38" s="84"/>
      <c r="D38" s="84"/>
      <c r="E38" s="84"/>
      <c r="G38" s="154">
        <v>32</v>
      </c>
      <c r="H38" s="150"/>
      <c r="I38" s="140"/>
      <c r="J38" s="140"/>
      <c r="K38" s="140"/>
      <c r="L38" s="140"/>
      <c r="M38" s="140"/>
      <c r="N38" s="141"/>
      <c r="O38" s="129">
        <f t="shared" si="1"/>
        <v>0</v>
      </c>
      <c r="P38" s="157">
        <f t="shared" si="2"/>
        <v>0</v>
      </c>
      <c r="Q38" s="125">
        <f t="shared" si="0"/>
        <v>0</v>
      </c>
      <c r="R38" s="84"/>
      <c r="S38" s="84"/>
      <c r="T38" s="84"/>
      <c r="U38" s="84"/>
      <c r="V38" s="84"/>
      <c r="W38" s="84"/>
      <c r="X38" s="84"/>
      <c r="Y38" s="84"/>
      <c r="Z38" s="84"/>
      <c r="AA38" s="84"/>
      <c r="AB38" s="84"/>
      <c r="AC38" s="84"/>
    </row>
    <row r="39" spans="2:29" ht="15.75" x14ac:dyDescent="0.25">
      <c r="B39" s="84"/>
      <c r="C39" s="84"/>
      <c r="D39" s="84"/>
      <c r="E39" s="84"/>
      <c r="G39" s="154">
        <v>33</v>
      </c>
      <c r="H39" s="150"/>
      <c r="I39" s="140"/>
      <c r="J39" s="140"/>
      <c r="K39" s="140"/>
      <c r="L39" s="140"/>
      <c r="M39" s="140"/>
      <c r="N39" s="141"/>
      <c r="O39" s="129">
        <f t="shared" si="1"/>
        <v>0</v>
      </c>
      <c r="P39" s="157">
        <f t="shared" si="2"/>
        <v>0</v>
      </c>
      <c r="Q39" s="125">
        <f t="shared" si="0"/>
        <v>0</v>
      </c>
      <c r="R39" s="84"/>
      <c r="S39" s="84"/>
      <c r="T39" s="84"/>
      <c r="U39" s="84"/>
      <c r="V39" s="84"/>
      <c r="W39" s="84"/>
      <c r="X39" s="84"/>
      <c r="Y39" s="84"/>
      <c r="Z39" s="84"/>
      <c r="AA39" s="84"/>
      <c r="AB39" s="84"/>
      <c r="AC39" s="84"/>
    </row>
    <row r="40" spans="2:29" ht="15.75" x14ac:dyDescent="0.25">
      <c r="B40" s="84"/>
      <c r="C40" s="84"/>
      <c r="D40" s="84"/>
      <c r="E40" s="84"/>
      <c r="G40" s="154">
        <v>34</v>
      </c>
      <c r="H40" s="150"/>
      <c r="I40" s="140"/>
      <c r="J40" s="140"/>
      <c r="K40" s="140"/>
      <c r="L40" s="140"/>
      <c r="M40" s="140"/>
      <c r="N40" s="141"/>
      <c r="O40" s="129">
        <f t="shared" si="1"/>
        <v>0</v>
      </c>
      <c r="P40" s="157">
        <f t="shared" si="2"/>
        <v>0</v>
      </c>
      <c r="Q40" s="125">
        <f t="shared" si="0"/>
        <v>0</v>
      </c>
      <c r="T40" s="84"/>
      <c r="U40" s="84"/>
      <c r="V40" s="84"/>
      <c r="W40" s="84"/>
      <c r="X40" s="84"/>
      <c r="Y40" s="84"/>
      <c r="Z40" s="84"/>
      <c r="AA40" s="84"/>
      <c r="AB40" s="84"/>
      <c r="AC40" s="84"/>
    </row>
    <row r="41" spans="2:29" ht="15.75" x14ac:dyDescent="0.25">
      <c r="B41" s="84"/>
      <c r="C41" s="84"/>
      <c r="D41" s="84"/>
      <c r="E41" s="84"/>
      <c r="G41" s="154">
        <v>35</v>
      </c>
      <c r="H41" s="150"/>
      <c r="I41" s="140"/>
      <c r="J41" s="140"/>
      <c r="K41" s="140"/>
      <c r="L41" s="140"/>
      <c r="M41" s="140"/>
      <c r="N41" s="141"/>
      <c r="O41" s="129">
        <f t="shared" si="1"/>
        <v>0</v>
      </c>
      <c r="P41" s="157">
        <f t="shared" si="2"/>
        <v>0</v>
      </c>
      <c r="Q41" s="125">
        <f t="shared" si="0"/>
        <v>0</v>
      </c>
      <c r="T41" s="84"/>
      <c r="U41" s="84"/>
      <c r="V41" s="84"/>
      <c r="W41" s="84"/>
      <c r="X41" s="84"/>
      <c r="Y41" s="84"/>
      <c r="Z41" s="84"/>
      <c r="AA41" s="84"/>
      <c r="AB41" s="84"/>
      <c r="AC41" s="84"/>
    </row>
    <row r="42" spans="2:29" ht="15.75" x14ac:dyDescent="0.25">
      <c r="B42" s="84"/>
      <c r="C42" s="84"/>
      <c r="D42" s="84"/>
      <c r="E42" s="84"/>
      <c r="G42" s="154">
        <v>36</v>
      </c>
      <c r="H42" s="148"/>
      <c r="I42" s="37"/>
      <c r="J42" s="37"/>
      <c r="K42" s="37"/>
      <c r="L42" s="37"/>
      <c r="M42" s="37"/>
      <c r="N42" s="37"/>
      <c r="O42" s="129">
        <f t="shared" si="1"/>
        <v>0</v>
      </c>
      <c r="P42" s="157">
        <f t="shared" si="2"/>
        <v>0</v>
      </c>
      <c r="Q42" s="125">
        <f t="shared" si="0"/>
        <v>0</v>
      </c>
      <c r="T42" s="84"/>
      <c r="U42" s="84"/>
      <c r="V42" s="84"/>
      <c r="W42" s="84"/>
      <c r="X42" s="84"/>
      <c r="Y42" s="84"/>
      <c r="Z42" s="84"/>
      <c r="AA42" s="84"/>
      <c r="AB42" s="84"/>
      <c r="AC42" s="84"/>
    </row>
    <row r="43" spans="2:29" ht="15.75" x14ac:dyDescent="0.25">
      <c r="G43" s="154">
        <v>37</v>
      </c>
      <c r="H43" s="148"/>
      <c r="I43" s="37"/>
      <c r="J43" s="37"/>
      <c r="K43" s="37"/>
      <c r="L43" s="37"/>
      <c r="M43" s="37"/>
      <c r="N43" s="37"/>
      <c r="O43" s="129">
        <f t="shared" si="1"/>
        <v>0</v>
      </c>
      <c r="P43" s="157">
        <f t="shared" si="2"/>
        <v>0</v>
      </c>
      <c r="Q43" s="125">
        <f t="shared" si="0"/>
        <v>0</v>
      </c>
      <c r="T43" s="84"/>
      <c r="U43" s="84"/>
      <c r="V43" s="84"/>
      <c r="W43" s="84"/>
      <c r="X43" s="84"/>
      <c r="Y43" s="84"/>
      <c r="Z43" s="84"/>
      <c r="AA43" s="84"/>
      <c r="AB43" s="84"/>
      <c r="AC43" s="84"/>
    </row>
    <row r="44" spans="2:29" ht="15.75" x14ac:dyDescent="0.25">
      <c r="G44" s="154">
        <v>38</v>
      </c>
      <c r="H44" s="148"/>
      <c r="I44" s="37"/>
      <c r="J44" s="37"/>
      <c r="K44" s="37"/>
      <c r="L44" s="37"/>
      <c r="M44" s="37"/>
      <c r="N44" s="37"/>
      <c r="O44" s="129">
        <f t="shared" si="1"/>
        <v>0</v>
      </c>
      <c r="P44" s="157">
        <f t="shared" si="2"/>
        <v>0</v>
      </c>
      <c r="Q44" s="125">
        <f t="shared" si="0"/>
        <v>0</v>
      </c>
      <c r="T44" s="84"/>
      <c r="U44" s="84"/>
      <c r="V44" s="84"/>
      <c r="W44" s="84"/>
      <c r="X44" s="84"/>
      <c r="Y44" s="84"/>
      <c r="Z44" s="84"/>
      <c r="AA44" s="84"/>
      <c r="AB44" s="84"/>
      <c r="AC44" s="84"/>
    </row>
    <row r="45" spans="2:29" ht="15.75" x14ac:dyDescent="0.25">
      <c r="G45" s="154">
        <v>39</v>
      </c>
      <c r="H45" s="148"/>
      <c r="I45" s="37"/>
      <c r="J45" s="37"/>
      <c r="K45" s="37"/>
      <c r="L45" s="37"/>
      <c r="M45" s="37"/>
      <c r="N45" s="37"/>
      <c r="O45" s="129">
        <f t="shared" si="1"/>
        <v>0</v>
      </c>
      <c r="P45" s="157">
        <f t="shared" si="2"/>
        <v>0</v>
      </c>
      <c r="Q45" s="125">
        <f t="shared" si="0"/>
        <v>0</v>
      </c>
      <c r="T45" s="84"/>
      <c r="U45" s="84"/>
      <c r="V45" s="84"/>
      <c r="W45" s="84"/>
      <c r="X45" s="84"/>
      <c r="Y45" s="84"/>
      <c r="Z45" s="84"/>
      <c r="AA45" s="84"/>
      <c r="AB45" s="84"/>
      <c r="AC45" s="84"/>
    </row>
    <row r="46" spans="2:29" ht="15.75" x14ac:dyDescent="0.25">
      <c r="G46" s="154">
        <v>40</v>
      </c>
      <c r="H46" s="148"/>
      <c r="I46" s="37"/>
      <c r="J46" s="37"/>
      <c r="K46" s="37"/>
      <c r="L46" s="37"/>
      <c r="M46" s="37"/>
      <c r="N46" s="37"/>
      <c r="O46" s="129">
        <f t="shared" si="1"/>
        <v>0</v>
      </c>
      <c r="P46" s="157">
        <f t="shared" si="2"/>
        <v>0</v>
      </c>
      <c r="Q46" s="125">
        <f t="shared" si="0"/>
        <v>0</v>
      </c>
      <c r="T46" s="84"/>
      <c r="U46" s="84"/>
      <c r="V46" s="84"/>
      <c r="W46" s="84"/>
      <c r="X46" s="84"/>
      <c r="Y46" s="84"/>
      <c r="Z46" s="84"/>
      <c r="AA46" s="84"/>
      <c r="AB46" s="84"/>
      <c r="AC46" s="84"/>
    </row>
    <row r="47" spans="2:29" ht="15.75" x14ac:dyDescent="0.25">
      <c r="G47" s="154">
        <v>41</v>
      </c>
      <c r="H47" s="148"/>
      <c r="I47" s="37"/>
      <c r="J47" s="37"/>
      <c r="K47" s="37"/>
      <c r="L47" s="37"/>
      <c r="M47" s="37"/>
      <c r="N47" s="37"/>
      <c r="O47" s="129">
        <f t="shared" si="1"/>
        <v>0</v>
      </c>
      <c r="P47" s="157">
        <f t="shared" si="2"/>
        <v>0</v>
      </c>
      <c r="Q47" s="125">
        <f t="shared" si="0"/>
        <v>0</v>
      </c>
      <c r="T47" s="84"/>
      <c r="U47" s="84"/>
      <c r="V47" s="84"/>
      <c r="W47" s="84"/>
      <c r="X47" s="84"/>
      <c r="Y47" s="84"/>
      <c r="Z47" s="84"/>
      <c r="AA47" s="84"/>
      <c r="AB47" s="84"/>
      <c r="AC47" s="84"/>
    </row>
    <row r="48" spans="2:29" ht="15.75" x14ac:dyDescent="0.25">
      <c r="G48" s="154">
        <v>42</v>
      </c>
      <c r="H48" s="148"/>
      <c r="I48" s="37"/>
      <c r="J48" s="37"/>
      <c r="K48" s="37"/>
      <c r="L48" s="37"/>
      <c r="M48" s="37"/>
      <c r="N48" s="37"/>
      <c r="O48" s="129">
        <f t="shared" si="1"/>
        <v>0</v>
      </c>
      <c r="P48" s="157">
        <f t="shared" si="2"/>
        <v>0</v>
      </c>
      <c r="Q48" s="125">
        <f t="shared" si="0"/>
        <v>0</v>
      </c>
      <c r="T48" s="84"/>
      <c r="U48" s="84"/>
      <c r="V48" s="84"/>
      <c r="W48" s="84"/>
      <c r="X48" s="84"/>
      <c r="Y48" s="84"/>
      <c r="Z48" s="84"/>
      <c r="AA48" s="84"/>
      <c r="AB48" s="84"/>
      <c r="AC48" s="84"/>
    </row>
    <row r="49" spans="7:29" ht="15.75" x14ac:dyDescent="0.25">
      <c r="G49" s="154">
        <v>43</v>
      </c>
      <c r="H49" s="148"/>
      <c r="I49" s="37"/>
      <c r="J49" s="37"/>
      <c r="K49" s="37"/>
      <c r="L49" s="37"/>
      <c r="M49" s="37"/>
      <c r="N49" s="37"/>
      <c r="O49" s="129">
        <f t="shared" si="1"/>
        <v>0</v>
      </c>
      <c r="P49" s="157">
        <f t="shared" si="2"/>
        <v>0</v>
      </c>
      <c r="Q49" s="125">
        <f t="shared" si="0"/>
        <v>0</v>
      </c>
      <c r="T49" s="84"/>
      <c r="U49" s="84"/>
      <c r="V49" s="84"/>
      <c r="W49" s="84"/>
      <c r="X49" s="84"/>
      <c r="Y49" s="84"/>
      <c r="Z49" s="84"/>
      <c r="AA49" s="84"/>
      <c r="AB49" s="84"/>
      <c r="AC49" s="84"/>
    </row>
    <row r="50" spans="7:29" ht="15.75" x14ac:dyDescent="0.25">
      <c r="G50" s="154">
        <v>44</v>
      </c>
      <c r="H50" s="148"/>
      <c r="I50" s="37"/>
      <c r="J50" s="37"/>
      <c r="K50" s="37"/>
      <c r="L50" s="37"/>
      <c r="M50" s="37"/>
      <c r="N50" s="37"/>
      <c r="O50" s="129">
        <f t="shared" si="1"/>
        <v>0</v>
      </c>
      <c r="P50" s="157">
        <f t="shared" si="2"/>
        <v>0</v>
      </c>
      <c r="Q50" s="125">
        <f t="shared" si="0"/>
        <v>0</v>
      </c>
      <c r="T50" s="84"/>
      <c r="U50" s="84"/>
      <c r="V50" s="84"/>
      <c r="W50" s="84"/>
      <c r="X50" s="84"/>
      <c r="Y50" s="84"/>
      <c r="Z50" s="84"/>
      <c r="AA50" s="84"/>
      <c r="AB50" s="84"/>
      <c r="AC50" s="84"/>
    </row>
    <row r="51" spans="7:29" ht="15.75" x14ac:dyDescent="0.25">
      <c r="G51" s="154">
        <v>45</v>
      </c>
      <c r="H51" s="148"/>
      <c r="I51" s="37"/>
      <c r="J51" s="37"/>
      <c r="K51" s="37"/>
      <c r="L51" s="37"/>
      <c r="M51" s="37"/>
      <c r="N51" s="37"/>
      <c r="O51" s="129">
        <f t="shared" si="1"/>
        <v>0</v>
      </c>
      <c r="P51" s="157">
        <f t="shared" si="2"/>
        <v>0</v>
      </c>
      <c r="Q51" s="125">
        <f t="shared" si="0"/>
        <v>0</v>
      </c>
      <c r="T51" s="84"/>
      <c r="U51" s="84"/>
      <c r="V51" s="84"/>
      <c r="W51" s="84"/>
      <c r="X51" s="84"/>
      <c r="Y51" s="84"/>
      <c r="Z51" s="84"/>
      <c r="AA51" s="84"/>
      <c r="AB51" s="84"/>
      <c r="AC51" s="84"/>
    </row>
    <row r="52" spans="7:29" ht="15.75" x14ac:dyDescent="0.25">
      <c r="G52" s="154">
        <v>46</v>
      </c>
      <c r="H52" s="148"/>
      <c r="I52" s="37"/>
      <c r="J52" s="37"/>
      <c r="K52" s="37"/>
      <c r="L52" s="37"/>
      <c r="M52" s="37"/>
      <c r="N52" s="37"/>
      <c r="O52" s="129">
        <f t="shared" si="1"/>
        <v>0</v>
      </c>
      <c r="P52" s="157">
        <f t="shared" si="2"/>
        <v>0</v>
      </c>
      <c r="Q52" s="125">
        <f t="shared" si="0"/>
        <v>0</v>
      </c>
      <c r="T52" s="84"/>
      <c r="U52" s="84"/>
      <c r="V52" s="84"/>
      <c r="W52" s="84"/>
      <c r="X52" s="84"/>
      <c r="Y52" s="84"/>
      <c r="Z52" s="84"/>
      <c r="AA52" s="84"/>
      <c r="AB52" s="84"/>
      <c r="AC52" s="84"/>
    </row>
    <row r="53" spans="7:29" ht="15.75" x14ac:dyDescent="0.25">
      <c r="G53" s="154">
        <v>47</v>
      </c>
      <c r="H53" s="148"/>
      <c r="I53" s="37"/>
      <c r="J53" s="37"/>
      <c r="K53" s="37"/>
      <c r="L53" s="37"/>
      <c r="M53" s="37"/>
      <c r="N53" s="37"/>
      <c r="O53" s="129">
        <f t="shared" si="1"/>
        <v>0</v>
      </c>
      <c r="P53" s="157">
        <f t="shared" si="2"/>
        <v>0</v>
      </c>
      <c r="Q53" s="125">
        <f t="shared" si="0"/>
        <v>0</v>
      </c>
      <c r="T53" s="84"/>
      <c r="U53" s="84"/>
      <c r="V53" s="84"/>
      <c r="W53" s="84"/>
      <c r="X53" s="84"/>
      <c r="Y53" s="84"/>
      <c r="Z53" s="84"/>
      <c r="AA53" s="84"/>
      <c r="AB53" s="84"/>
      <c r="AC53" s="84"/>
    </row>
    <row r="54" spans="7:29" ht="15.75" x14ac:dyDescent="0.25">
      <c r="G54" s="154">
        <v>48</v>
      </c>
      <c r="H54" s="148"/>
      <c r="I54" s="37"/>
      <c r="J54" s="37"/>
      <c r="K54" s="37"/>
      <c r="L54" s="37"/>
      <c r="M54" s="37"/>
      <c r="N54" s="37"/>
      <c r="O54" s="129">
        <f t="shared" si="1"/>
        <v>0</v>
      </c>
      <c r="P54" s="157">
        <f t="shared" si="2"/>
        <v>0</v>
      </c>
      <c r="Q54" s="125">
        <f t="shared" si="0"/>
        <v>0</v>
      </c>
      <c r="T54" s="84"/>
      <c r="U54" s="84"/>
      <c r="V54" s="84"/>
      <c r="W54" s="84"/>
      <c r="X54" s="84"/>
      <c r="Y54" s="84"/>
      <c r="Z54" s="84"/>
      <c r="AA54" s="84"/>
      <c r="AB54" s="84"/>
      <c r="AC54" s="84"/>
    </row>
    <row r="55" spans="7:29" ht="15.75" x14ac:dyDescent="0.25">
      <c r="G55" s="154">
        <v>49</v>
      </c>
      <c r="H55" s="148"/>
      <c r="I55" s="37"/>
      <c r="J55" s="37"/>
      <c r="K55" s="37"/>
      <c r="L55" s="37"/>
      <c r="M55" s="37"/>
      <c r="N55" s="37"/>
      <c r="O55" s="129">
        <f t="shared" si="1"/>
        <v>0</v>
      </c>
      <c r="P55" s="157">
        <f t="shared" si="2"/>
        <v>0</v>
      </c>
      <c r="Q55" s="125">
        <f t="shared" si="0"/>
        <v>0</v>
      </c>
      <c r="T55" s="84"/>
      <c r="U55" s="84"/>
      <c r="V55" s="84"/>
      <c r="W55" s="84"/>
      <c r="X55" s="84"/>
      <c r="Y55" s="84"/>
      <c r="Z55" s="84"/>
      <c r="AA55" s="84"/>
      <c r="AB55" s="84"/>
      <c r="AC55" s="84"/>
    </row>
    <row r="56" spans="7:29" ht="15.75" x14ac:dyDescent="0.25">
      <c r="G56" s="154">
        <v>50</v>
      </c>
      <c r="H56" s="148"/>
      <c r="I56" s="37"/>
      <c r="J56" s="37"/>
      <c r="K56" s="37"/>
      <c r="L56" s="37"/>
      <c r="M56" s="37"/>
      <c r="N56" s="37"/>
      <c r="O56" s="129">
        <f t="shared" si="1"/>
        <v>0</v>
      </c>
      <c r="P56" s="157">
        <f t="shared" si="2"/>
        <v>0</v>
      </c>
      <c r="Q56" s="125">
        <f t="shared" si="0"/>
        <v>0</v>
      </c>
      <c r="T56" s="84"/>
      <c r="U56" s="84"/>
      <c r="V56" s="84"/>
      <c r="W56" s="84"/>
      <c r="X56" s="84"/>
      <c r="Y56" s="84"/>
      <c r="Z56" s="84"/>
      <c r="AA56" s="84"/>
      <c r="AB56" s="84"/>
      <c r="AC56" s="84"/>
    </row>
    <row r="57" spans="7:29" ht="15.75" x14ac:dyDescent="0.25">
      <c r="G57" s="154">
        <v>51</v>
      </c>
      <c r="H57" s="148"/>
      <c r="I57" s="37"/>
      <c r="J57" s="37"/>
      <c r="K57" s="37"/>
      <c r="L57" s="37"/>
      <c r="M57" s="37"/>
      <c r="N57" s="37"/>
      <c r="O57" s="129">
        <f t="shared" si="1"/>
        <v>0</v>
      </c>
      <c r="P57" s="157">
        <f t="shared" si="2"/>
        <v>0</v>
      </c>
      <c r="Q57" s="125">
        <f t="shared" si="0"/>
        <v>0</v>
      </c>
      <c r="T57" s="84"/>
      <c r="U57" s="84"/>
      <c r="V57" s="84"/>
      <c r="W57" s="84"/>
      <c r="X57" s="84"/>
      <c r="Y57" s="84"/>
      <c r="Z57" s="84"/>
      <c r="AA57" s="84"/>
      <c r="AB57" s="84"/>
      <c r="AC57" s="84"/>
    </row>
    <row r="58" spans="7:29" ht="15.75" x14ac:dyDescent="0.25">
      <c r="G58" s="154">
        <v>52</v>
      </c>
      <c r="H58" s="148"/>
      <c r="I58" s="37"/>
      <c r="J58" s="37"/>
      <c r="K58" s="37"/>
      <c r="L58" s="37"/>
      <c r="M58" s="37"/>
      <c r="N58" s="37"/>
      <c r="O58" s="129">
        <f t="shared" si="1"/>
        <v>0</v>
      </c>
      <c r="P58" s="157">
        <f t="shared" si="2"/>
        <v>0</v>
      </c>
      <c r="Q58" s="125">
        <f t="shared" si="0"/>
        <v>0</v>
      </c>
      <c r="T58" s="84"/>
      <c r="U58" s="84"/>
      <c r="V58" s="84"/>
      <c r="W58" s="84"/>
      <c r="X58" s="84"/>
      <c r="Y58" s="84"/>
      <c r="Z58" s="84"/>
      <c r="AA58" s="84"/>
      <c r="AB58" s="84"/>
      <c r="AC58" s="84"/>
    </row>
    <row r="59" spans="7:29" ht="15.75" x14ac:dyDescent="0.25">
      <c r="G59" s="154">
        <v>53</v>
      </c>
      <c r="H59" s="148"/>
      <c r="I59" s="37"/>
      <c r="J59" s="37"/>
      <c r="K59" s="37"/>
      <c r="L59" s="37"/>
      <c r="M59" s="37"/>
      <c r="N59" s="37"/>
      <c r="O59" s="129">
        <f t="shared" si="1"/>
        <v>0</v>
      </c>
      <c r="P59" s="157">
        <f t="shared" si="2"/>
        <v>0</v>
      </c>
      <c r="Q59" s="125">
        <f t="shared" si="0"/>
        <v>0</v>
      </c>
      <c r="T59" s="84"/>
      <c r="U59" s="84"/>
      <c r="V59" s="84"/>
      <c r="W59" s="84"/>
      <c r="X59" s="84"/>
      <c r="Y59" s="84"/>
      <c r="Z59" s="84"/>
      <c r="AA59" s="84"/>
      <c r="AB59" s="84"/>
      <c r="AC59" s="84"/>
    </row>
    <row r="60" spans="7:29" ht="15.75" x14ac:dyDescent="0.25">
      <c r="G60" s="154">
        <v>54</v>
      </c>
      <c r="H60" s="148"/>
      <c r="I60" s="37"/>
      <c r="J60" s="37"/>
      <c r="K60" s="37"/>
      <c r="L60" s="37"/>
      <c r="M60" s="37"/>
      <c r="N60" s="37"/>
      <c r="O60" s="129">
        <f t="shared" si="1"/>
        <v>0</v>
      </c>
      <c r="P60" s="157">
        <f t="shared" si="2"/>
        <v>0</v>
      </c>
      <c r="Q60" s="125">
        <f t="shared" si="0"/>
        <v>0</v>
      </c>
      <c r="T60" s="84"/>
      <c r="U60" s="84"/>
      <c r="V60" s="84"/>
      <c r="W60" s="84"/>
      <c r="X60" s="84"/>
      <c r="Y60" s="84"/>
      <c r="Z60" s="84"/>
      <c r="AA60" s="84"/>
      <c r="AB60" s="84"/>
      <c r="AC60" s="84"/>
    </row>
    <row r="61" spans="7:29" ht="15.75" x14ac:dyDescent="0.25">
      <c r="G61" s="154">
        <v>55</v>
      </c>
      <c r="H61" s="148"/>
      <c r="I61" s="37"/>
      <c r="J61" s="37"/>
      <c r="K61" s="37"/>
      <c r="L61" s="37"/>
      <c r="M61" s="37"/>
      <c r="N61" s="37"/>
      <c r="O61" s="129">
        <f t="shared" si="1"/>
        <v>0</v>
      </c>
      <c r="P61" s="157">
        <f t="shared" si="2"/>
        <v>0</v>
      </c>
      <c r="Q61" s="125">
        <f t="shared" si="0"/>
        <v>0</v>
      </c>
      <c r="T61" s="84"/>
      <c r="U61" s="84"/>
      <c r="V61" s="84"/>
      <c r="W61" s="84"/>
      <c r="X61" s="84"/>
      <c r="Y61" s="84"/>
      <c r="Z61" s="84"/>
      <c r="AA61" s="84"/>
      <c r="AB61" s="84"/>
      <c r="AC61" s="84"/>
    </row>
    <row r="62" spans="7:29" ht="15.75" x14ac:dyDescent="0.25">
      <c r="G62" s="154">
        <v>56</v>
      </c>
      <c r="H62" s="148"/>
      <c r="I62" s="37"/>
      <c r="J62" s="37"/>
      <c r="K62" s="37"/>
      <c r="L62" s="37"/>
      <c r="M62" s="37"/>
      <c r="N62" s="37"/>
      <c r="O62" s="129">
        <f t="shared" si="1"/>
        <v>0</v>
      </c>
      <c r="P62" s="157">
        <f t="shared" si="2"/>
        <v>0</v>
      </c>
      <c r="Q62" s="125">
        <f t="shared" si="0"/>
        <v>0</v>
      </c>
      <c r="R62" s="83"/>
      <c r="T62" s="84"/>
      <c r="U62" s="84"/>
      <c r="V62" s="84"/>
      <c r="W62" s="84"/>
      <c r="X62" s="84"/>
      <c r="Y62" s="84"/>
      <c r="Z62" s="84"/>
      <c r="AA62" s="84"/>
      <c r="AB62" s="84"/>
      <c r="AC62" s="84"/>
    </row>
    <row r="63" spans="7:29" ht="15.75" x14ac:dyDescent="0.25">
      <c r="G63" s="154">
        <v>57</v>
      </c>
      <c r="H63" s="148"/>
      <c r="I63" s="37"/>
      <c r="J63" s="37"/>
      <c r="K63" s="37"/>
      <c r="L63" s="37"/>
      <c r="M63" s="37"/>
      <c r="N63" s="37"/>
      <c r="O63" s="129">
        <f t="shared" si="1"/>
        <v>0</v>
      </c>
      <c r="P63" s="157">
        <f t="shared" si="2"/>
        <v>0</v>
      </c>
      <c r="Q63" s="125">
        <f t="shared" si="0"/>
        <v>0</v>
      </c>
      <c r="R63" s="83"/>
      <c r="T63" s="84"/>
      <c r="U63" s="84"/>
      <c r="V63" s="84"/>
      <c r="W63" s="84"/>
      <c r="X63" s="84"/>
      <c r="Y63" s="84"/>
      <c r="Z63" s="84"/>
      <c r="AA63" s="84"/>
      <c r="AB63" s="84"/>
      <c r="AC63" s="84"/>
    </row>
    <row r="64" spans="7:29" ht="15.75" x14ac:dyDescent="0.25">
      <c r="G64" s="154">
        <v>58</v>
      </c>
      <c r="H64" s="148"/>
      <c r="I64" s="37"/>
      <c r="J64" s="37"/>
      <c r="K64" s="37"/>
      <c r="L64" s="37"/>
      <c r="M64" s="37"/>
      <c r="N64" s="37"/>
      <c r="O64" s="129">
        <f t="shared" si="1"/>
        <v>0</v>
      </c>
      <c r="P64" s="157">
        <f t="shared" si="2"/>
        <v>0</v>
      </c>
      <c r="Q64" s="125">
        <f t="shared" si="0"/>
        <v>0</v>
      </c>
      <c r="R64" s="83"/>
      <c r="T64" s="84"/>
      <c r="U64" s="84"/>
      <c r="V64" s="84"/>
      <c r="W64" s="84"/>
      <c r="X64" s="84"/>
      <c r="Y64" s="84"/>
      <c r="Z64" s="84"/>
      <c r="AA64" s="84"/>
      <c r="AB64" s="84"/>
      <c r="AC64" s="84"/>
    </row>
    <row r="65" spans="7:29" ht="15.75" x14ac:dyDescent="0.25">
      <c r="G65" s="154">
        <v>59</v>
      </c>
      <c r="H65" s="148"/>
      <c r="I65" s="37"/>
      <c r="J65" s="37"/>
      <c r="K65" s="37"/>
      <c r="L65" s="37"/>
      <c r="M65" s="37"/>
      <c r="N65" s="37"/>
      <c r="O65" s="129">
        <f t="shared" si="1"/>
        <v>0</v>
      </c>
      <c r="P65" s="157">
        <f t="shared" si="2"/>
        <v>0</v>
      </c>
      <c r="Q65" s="125">
        <f t="shared" si="0"/>
        <v>0</v>
      </c>
      <c r="R65" s="83"/>
      <c r="T65" s="84"/>
      <c r="U65" s="84"/>
      <c r="V65" s="84"/>
      <c r="W65" s="84"/>
      <c r="X65" s="84"/>
      <c r="Y65" s="84"/>
      <c r="Z65" s="84"/>
      <c r="AA65" s="84"/>
      <c r="AB65" s="84"/>
      <c r="AC65" s="84"/>
    </row>
    <row r="66" spans="7:29" ht="15.75" x14ac:dyDescent="0.25">
      <c r="G66" s="154">
        <v>60</v>
      </c>
      <c r="H66" s="148"/>
      <c r="I66" s="37"/>
      <c r="J66" s="37"/>
      <c r="K66" s="37"/>
      <c r="L66" s="37"/>
      <c r="M66" s="37"/>
      <c r="N66" s="37"/>
      <c r="O66" s="129">
        <f t="shared" si="1"/>
        <v>0</v>
      </c>
      <c r="P66" s="157">
        <f t="shared" si="2"/>
        <v>0</v>
      </c>
      <c r="Q66" s="125">
        <f t="shared" si="0"/>
        <v>0</v>
      </c>
      <c r="T66" s="84"/>
      <c r="U66" s="84"/>
      <c r="V66" s="84"/>
      <c r="W66" s="84"/>
      <c r="X66" s="84"/>
      <c r="Y66" s="84"/>
      <c r="Z66" s="84"/>
      <c r="AA66" s="84"/>
      <c r="AB66" s="84"/>
      <c r="AC66" s="84"/>
    </row>
    <row r="67" spans="7:29" ht="15.75" x14ac:dyDescent="0.25">
      <c r="G67" s="154">
        <v>61</v>
      </c>
      <c r="H67" s="148"/>
      <c r="I67" s="37"/>
      <c r="J67" s="37"/>
      <c r="K67" s="37"/>
      <c r="L67" s="37"/>
      <c r="M67" s="37"/>
      <c r="N67" s="37"/>
      <c r="O67" s="129">
        <f t="shared" si="1"/>
        <v>0</v>
      </c>
      <c r="P67" s="157">
        <f t="shared" si="2"/>
        <v>0</v>
      </c>
      <c r="Q67" s="125">
        <f t="shared" si="0"/>
        <v>0</v>
      </c>
      <c r="T67" s="84"/>
      <c r="U67" s="84"/>
      <c r="V67" s="84"/>
      <c r="W67" s="84"/>
      <c r="X67" s="84"/>
      <c r="Y67" s="84"/>
      <c r="Z67" s="84"/>
      <c r="AA67" s="84"/>
      <c r="AB67" s="84"/>
      <c r="AC67" s="84"/>
    </row>
    <row r="68" spans="7:29" ht="15.75" x14ac:dyDescent="0.25">
      <c r="G68" s="154">
        <v>62</v>
      </c>
      <c r="H68" s="148"/>
      <c r="I68" s="37"/>
      <c r="J68" s="37"/>
      <c r="K68" s="37"/>
      <c r="L68" s="37"/>
      <c r="M68" s="37"/>
      <c r="N68" s="37"/>
      <c r="O68" s="129">
        <f t="shared" si="1"/>
        <v>0</v>
      </c>
      <c r="P68" s="157">
        <f t="shared" si="2"/>
        <v>0</v>
      </c>
      <c r="Q68" s="125">
        <f t="shared" si="0"/>
        <v>0</v>
      </c>
      <c r="T68" s="84"/>
      <c r="U68" s="84"/>
      <c r="V68" s="84"/>
      <c r="W68" s="84"/>
      <c r="X68" s="84"/>
      <c r="Y68" s="84"/>
      <c r="Z68" s="84"/>
      <c r="AA68" s="84"/>
      <c r="AB68" s="84"/>
      <c r="AC68" s="84"/>
    </row>
    <row r="69" spans="7:29" ht="15.75" x14ac:dyDescent="0.25">
      <c r="G69" s="154">
        <v>63</v>
      </c>
      <c r="H69" s="148"/>
      <c r="I69" s="37"/>
      <c r="J69" s="37"/>
      <c r="K69" s="37"/>
      <c r="L69" s="37"/>
      <c r="M69" s="37"/>
      <c r="N69" s="37"/>
      <c r="O69" s="129">
        <f t="shared" si="1"/>
        <v>0</v>
      </c>
      <c r="P69" s="157">
        <f t="shared" si="2"/>
        <v>0</v>
      </c>
      <c r="Q69" s="125">
        <f t="shared" si="0"/>
        <v>0</v>
      </c>
      <c r="T69" s="84"/>
      <c r="U69" s="84"/>
      <c r="V69" s="84"/>
      <c r="W69" s="84"/>
      <c r="X69" s="84"/>
      <c r="Y69" s="84"/>
      <c r="Z69" s="84"/>
      <c r="AA69" s="84"/>
      <c r="AB69" s="84"/>
      <c r="AC69" s="84"/>
    </row>
    <row r="70" spans="7:29" ht="15.75" x14ac:dyDescent="0.25">
      <c r="G70" s="154">
        <v>64</v>
      </c>
      <c r="H70" s="148"/>
      <c r="I70" s="37"/>
      <c r="J70" s="37"/>
      <c r="K70" s="37"/>
      <c r="L70" s="37"/>
      <c r="M70" s="37"/>
      <c r="N70" s="37"/>
      <c r="O70" s="129">
        <f t="shared" si="1"/>
        <v>0</v>
      </c>
      <c r="P70" s="157">
        <f t="shared" si="2"/>
        <v>0</v>
      </c>
      <c r="Q70" s="125">
        <f t="shared" si="0"/>
        <v>0</v>
      </c>
      <c r="T70" s="84"/>
      <c r="U70" s="84"/>
      <c r="V70" s="84"/>
      <c r="W70" s="84"/>
      <c r="X70" s="84"/>
      <c r="Y70" s="84"/>
      <c r="Z70" s="84"/>
      <c r="AA70" s="84"/>
      <c r="AB70" s="84"/>
      <c r="AC70" s="84"/>
    </row>
    <row r="71" spans="7:29" ht="15.75" x14ac:dyDescent="0.25">
      <c r="G71" s="154">
        <v>65</v>
      </c>
      <c r="H71" s="148"/>
      <c r="I71" s="37"/>
      <c r="J71" s="37"/>
      <c r="K71" s="37"/>
      <c r="L71" s="37"/>
      <c r="M71" s="37"/>
      <c r="N71" s="37"/>
      <c r="O71" s="129">
        <f t="shared" si="1"/>
        <v>0</v>
      </c>
      <c r="P71" s="157">
        <f t="shared" si="2"/>
        <v>0</v>
      </c>
      <c r="Q71" s="125">
        <f t="shared" ref="Q71:Q134" si="3" xml:space="preserve"> IFERROR(   ( (  IF($H71 = "N/A",  0, $H71) + IF($I71 = "N/A",  0, $I71) + IF($J71 = "N/A",  0, $J71) + IF($K71 = "N/A",  0, $K71) + IF($L71 = "N/A",  0, $L71) + IF($M71 = "N/A",  0, $M71)  )*100 / (  IF($H71 = "N/A",  0, C_1_Weight) + IF($I71 = "N/A",  0, C_2_Weight) + IF($J71 = "N/A",  0, C_3_Weight) + IF($K71 = "N/A",  0, C_4_Weight) + IF($L71 = "N/A",  0, C_5_Weight) + IF($M71 = "N/A",  0, C_6_Weight)  ) +$O71 ), "Not Yet Rated")</f>
        <v>0</v>
      </c>
      <c r="T71" s="84"/>
      <c r="U71" s="84"/>
      <c r="V71" s="84"/>
      <c r="W71" s="84"/>
      <c r="X71" s="84"/>
      <c r="Y71" s="84"/>
      <c r="Z71" s="84"/>
      <c r="AA71" s="84"/>
      <c r="AB71" s="84"/>
      <c r="AC71" s="84"/>
    </row>
    <row r="72" spans="7:29" ht="15.75" x14ac:dyDescent="0.25">
      <c r="G72" s="154">
        <v>66</v>
      </c>
      <c r="H72" s="148"/>
      <c r="I72" s="37"/>
      <c r="J72" s="37"/>
      <c r="K72" s="37"/>
      <c r="L72" s="37"/>
      <c r="M72" s="37"/>
      <c r="N72" s="37"/>
      <c r="O72" s="129">
        <f t="shared" ref="O72:O135" si="4">IF( COUNTIF($N72:$N72,"Fail") &gt; 0, -0.2, 0 )</f>
        <v>0</v>
      </c>
      <c r="P72" s="157">
        <f t="shared" ref="P72:P135" si="5">IFERROR( IF(   ($Q72) &lt; 0, 0,   ($Q72)   ), "Not Yet Rated")*5</f>
        <v>0</v>
      </c>
      <c r="Q72" s="125">
        <f t="shared" si="3"/>
        <v>0</v>
      </c>
      <c r="T72" s="84"/>
      <c r="U72" s="84"/>
      <c r="V72" s="84"/>
      <c r="W72" s="84"/>
      <c r="X72" s="84"/>
      <c r="Y72" s="84"/>
      <c r="Z72" s="84"/>
      <c r="AA72" s="84"/>
      <c r="AB72" s="84"/>
      <c r="AC72" s="84"/>
    </row>
    <row r="73" spans="7:29" ht="15.75" x14ac:dyDescent="0.25">
      <c r="G73" s="154">
        <v>67</v>
      </c>
      <c r="H73" s="148"/>
      <c r="I73" s="37"/>
      <c r="J73" s="37"/>
      <c r="K73" s="37"/>
      <c r="L73" s="37"/>
      <c r="M73" s="37"/>
      <c r="N73" s="37"/>
      <c r="O73" s="129">
        <f t="shared" si="4"/>
        <v>0</v>
      </c>
      <c r="P73" s="157">
        <f t="shared" si="5"/>
        <v>0</v>
      </c>
      <c r="Q73" s="125">
        <f t="shared" si="3"/>
        <v>0</v>
      </c>
      <c r="T73" s="84"/>
      <c r="U73" s="84"/>
      <c r="V73" s="84"/>
      <c r="W73" s="84"/>
      <c r="X73" s="84"/>
      <c r="Y73" s="84"/>
      <c r="Z73" s="84"/>
      <c r="AA73" s="84"/>
      <c r="AB73" s="84"/>
      <c r="AC73" s="84"/>
    </row>
    <row r="74" spans="7:29" ht="15.75" x14ac:dyDescent="0.25">
      <c r="G74" s="154">
        <v>68</v>
      </c>
      <c r="H74" s="148"/>
      <c r="I74" s="37"/>
      <c r="J74" s="37"/>
      <c r="K74" s="37"/>
      <c r="L74" s="37"/>
      <c r="M74" s="37"/>
      <c r="N74" s="37"/>
      <c r="O74" s="129">
        <f t="shared" si="4"/>
        <v>0</v>
      </c>
      <c r="P74" s="157">
        <f t="shared" si="5"/>
        <v>0</v>
      </c>
      <c r="Q74" s="125">
        <f t="shared" si="3"/>
        <v>0</v>
      </c>
      <c r="T74" s="84"/>
      <c r="U74" s="84"/>
      <c r="V74" s="84"/>
      <c r="W74" s="84"/>
      <c r="X74" s="84"/>
      <c r="Y74" s="84"/>
      <c r="Z74" s="84"/>
      <c r="AA74" s="84"/>
      <c r="AB74" s="84"/>
      <c r="AC74" s="84"/>
    </row>
    <row r="75" spans="7:29" ht="15.75" x14ac:dyDescent="0.25">
      <c r="G75" s="154">
        <v>69</v>
      </c>
      <c r="H75" s="148"/>
      <c r="I75" s="37"/>
      <c r="J75" s="37"/>
      <c r="K75" s="37"/>
      <c r="L75" s="37"/>
      <c r="M75" s="37"/>
      <c r="N75" s="37"/>
      <c r="O75" s="129">
        <f t="shared" si="4"/>
        <v>0</v>
      </c>
      <c r="P75" s="157">
        <f t="shared" si="5"/>
        <v>0</v>
      </c>
      <c r="Q75" s="125">
        <f t="shared" si="3"/>
        <v>0</v>
      </c>
    </row>
    <row r="76" spans="7:29" ht="15.75" x14ac:dyDescent="0.25">
      <c r="G76" s="154">
        <v>70</v>
      </c>
      <c r="H76" s="148"/>
      <c r="I76" s="37"/>
      <c r="J76" s="37"/>
      <c r="K76" s="37"/>
      <c r="L76" s="37"/>
      <c r="M76" s="37"/>
      <c r="N76" s="37"/>
      <c r="O76" s="129">
        <f t="shared" si="4"/>
        <v>0</v>
      </c>
      <c r="P76" s="157">
        <f t="shared" si="5"/>
        <v>0</v>
      </c>
      <c r="Q76" s="125">
        <f t="shared" si="3"/>
        <v>0</v>
      </c>
    </row>
    <row r="77" spans="7:29" ht="15.75" x14ac:dyDescent="0.25">
      <c r="G77" s="154">
        <v>71</v>
      </c>
      <c r="H77" s="148"/>
      <c r="I77" s="37"/>
      <c r="J77" s="37"/>
      <c r="K77" s="37"/>
      <c r="L77" s="37"/>
      <c r="M77" s="37"/>
      <c r="N77" s="37"/>
      <c r="O77" s="129">
        <f t="shared" si="4"/>
        <v>0</v>
      </c>
      <c r="P77" s="157">
        <f t="shared" si="5"/>
        <v>0</v>
      </c>
      <c r="Q77" s="125">
        <f t="shared" si="3"/>
        <v>0</v>
      </c>
    </row>
    <row r="78" spans="7:29" ht="15.75" x14ac:dyDescent="0.25">
      <c r="G78" s="154">
        <v>72</v>
      </c>
      <c r="H78" s="148"/>
      <c r="I78" s="37"/>
      <c r="J78" s="37"/>
      <c r="K78" s="37"/>
      <c r="L78" s="37"/>
      <c r="M78" s="37"/>
      <c r="N78" s="37"/>
      <c r="O78" s="129">
        <f t="shared" si="4"/>
        <v>0</v>
      </c>
      <c r="P78" s="157">
        <f t="shared" si="5"/>
        <v>0</v>
      </c>
      <c r="Q78" s="125">
        <f t="shared" si="3"/>
        <v>0</v>
      </c>
    </row>
    <row r="79" spans="7:29" ht="15.75" x14ac:dyDescent="0.25">
      <c r="G79" s="154">
        <v>73</v>
      </c>
      <c r="H79" s="148"/>
      <c r="I79" s="37"/>
      <c r="J79" s="37"/>
      <c r="K79" s="37"/>
      <c r="L79" s="37"/>
      <c r="M79" s="37"/>
      <c r="N79" s="37"/>
      <c r="O79" s="129">
        <f t="shared" si="4"/>
        <v>0</v>
      </c>
      <c r="P79" s="157">
        <f t="shared" si="5"/>
        <v>0</v>
      </c>
      <c r="Q79" s="125">
        <f t="shared" si="3"/>
        <v>0</v>
      </c>
    </row>
    <row r="80" spans="7:29" ht="15.75" x14ac:dyDescent="0.25">
      <c r="G80" s="154">
        <v>74</v>
      </c>
      <c r="H80" s="148"/>
      <c r="I80" s="37"/>
      <c r="J80" s="37"/>
      <c r="K80" s="37"/>
      <c r="L80" s="37"/>
      <c r="M80" s="37"/>
      <c r="N80" s="37"/>
      <c r="O80" s="129">
        <f t="shared" si="4"/>
        <v>0</v>
      </c>
      <c r="P80" s="157">
        <f t="shared" si="5"/>
        <v>0</v>
      </c>
      <c r="Q80" s="125">
        <f t="shared" si="3"/>
        <v>0</v>
      </c>
    </row>
    <row r="81" spans="7:17" ht="15.75" x14ac:dyDescent="0.25">
      <c r="G81" s="154">
        <v>75</v>
      </c>
      <c r="H81" s="148"/>
      <c r="I81" s="37"/>
      <c r="J81" s="37"/>
      <c r="K81" s="37"/>
      <c r="L81" s="37"/>
      <c r="M81" s="37"/>
      <c r="N81" s="37"/>
      <c r="O81" s="129">
        <f t="shared" si="4"/>
        <v>0</v>
      </c>
      <c r="P81" s="157">
        <f t="shared" si="5"/>
        <v>0</v>
      </c>
      <c r="Q81" s="125">
        <f t="shared" si="3"/>
        <v>0</v>
      </c>
    </row>
    <row r="82" spans="7:17" ht="15.75" x14ac:dyDescent="0.25">
      <c r="G82" s="154">
        <v>76</v>
      </c>
      <c r="H82" s="148"/>
      <c r="I82" s="37"/>
      <c r="J82" s="37"/>
      <c r="K82" s="37"/>
      <c r="L82" s="37"/>
      <c r="M82" s="37"/>
      <c r="N82" s="37"/>
      <c r="O82" s="129">
        <f t="shared" si="4"/>
        <v>0</v>
      </c>
      <c r="P82" s="157">
        <f t="shared" si="5"/>
        <v>0</v>
      </c>
      <c r="Q82" s="125">
        <f t="shared" si="3"/>
        <v>0</v>
      </c>
    </row>
    <row r="83" spans="7:17" ht="15.75" x14ac:dyDescent="0.25">
      <c r="G83" s="154">
        <v>77</v>
      </c>
      <c r="H83" s="148"/>
      <c r="I83" s="37"/>
      <c r="J83" s="37"/>
      <c r="K83" s="37"/>
      <c r="L83" s="37"/>
      <c r="M83" s="37"/>
      <c r="N83" s="37"/>
      <c r="O83" s="129">
        <f t="shared" si="4"/>
        <v>0</v>
      </c>
      <c r="P83" s="157">
        <f t="shared" si="5"/>
        <v>0</v>
      </c>
      <c r="Q83" s="125">
        <f t="shared" si="3"/>
        <v>0</v>
      </c>
    </row>
    <row r="84" spans="7:17" ht="15.75" x14ac:dyDescent="0.25">
      <c r="G84" s="154">
        <v>78</v>
      </c>
      <c r="H84" s="148"/>
      <c r="I84" s="37"/>
      <c r="J84" s="37"/>
      <c r="K84" s="37"/>
      <c r="L84" s="37"/>
      <c r="M84" s="37"/>
      <c r="N84" s="37"/>
      <c r="O84" s="129">
        <f t="shared" si="4"/>
        <v>0</v>
      </c>
      <c r="P84" s="157">
        <f t="shared" si="5"/>
        <v>0</v>
      </c>
      <c r="Q84" s="125">
        <f t="shared" si="3"/>
        <v>0</v>
      </c>
    </row>
    <row r="85" spans="7:17" ht="15.75" x14ac:dyDescent="0.25">
      <c r="G85" s="154">
        <v>79</v>
      </c>
      <c r="H85" s="148"/>
      <c r="I85" s="37"/>
      <c r="J85" s="37"/>
      <c r="K85" s="37"/>
      <c r="L85" s="37"/>
      <c r="M85" s="37"/>
      <c r="N85" s="37"/>
      <c r="O85" s="129">
        <f t="shared" si="4"/>
        <v>0</v>
      </c>
      <c r="P85" s="157">
        <f t="shared" si="5"/>
        <v>0</v>
      </c>
      <c r="Q85" s="125">
        <f t="shared" si="3"/>
        <v>0</v>
      </c>
    </row>
    <row r="86" spans="7:17" ht="15.75" x14ac:dyDescent="0.25">
      <c r="G86" s="154">
        <v>80</v>
      </c>
      <c r="H86" s="148"/>
      <c r="I86" s="37"/>
      <c r="J86" s="37"/>
      <c r="K86" s="37"/>
      <c r="L86" s="37"/>
      <c r="M86" s="37"/>
      <c r="N86" s="37"/>
      <c r="O86" s="129">
        <f t="shared" si="4"/>
        <v>0</v>
      </c>
      <c r="P86" s="157">
        <f t="shared" si="5"/>
        <v>0</v>
      </c>
      <c r="Q86" s="125">
        <f t="shared" si="3"/>
        <v>0</v>
      </c>
    </row>
    <row r="87" spans="7:17" ht="15.75" x14ac:dyDescent="0.25">
      <c r="G87" s="154">
        <v>81</v>
      </c>
      <c r="H87" s="148"/>
      <c r="I87" s="37"/>
      <c r="J87" s="37"/>
      <c r="K87" s="37"/>
      <c r="L87" s="37"/>
      <c r="M87" s="37"/>
      <c r="N87" s="37"/>
      <c r="O87" s="129">
        <f t="shared" si="4"/>
        <v>0</v>
      </c>
      <c r="P87" s="157">
        <f t="shared" si="5"/>
        <v>0</v>
      </c>
      <c r="Q87" s="125">
        <f t="shared" si="3"/>
        <v>0</v>
      </c>
    </row>
    <row r="88" spans="7:17" ht="15.75" x14ac:dyDescent="0.25">
      <c r="G88" s="154">
        <v>82</v>
      </c>
      <c r="H88" s="148"/>
      <c r="I88" s="37"/>
      <c r="J88" s="37"/>
      <c r="K88" s="37"/>
      <c r="L88" s="37"/>
      <c r="M88" s="37"/>
      <c r="N88" s="37"/>
      <c r="O88" s="129">
        <f t="shared" si="4"/>
        <v>0</v>
      </c>
      <c r="P88" s="157">
        <f t="shared" si="5"/>
        <v>0</v>
      </c>
      <c r="Q88" s="125">
        <f t="shared" si="3"/>
        <v>0</v>
      </c>
    </row>
    <row r="89" spans="7:17" ht="15.75" x14ac:dyDescent="0.25">
      <c r="G89" s="154">
        <v>83</v>
      </c>
      <c r="H89" s="148"/>
      <c r="I89" s="37"/>
      <c r="J89" s="37"/>
      <c r="K89" s="37"/>
      <c r="L89" s="37"/>
      <c r="M89" s="37"/>
      <c r="N89" s="37"/>
      <c r="O89" s="129">
        <f t="shared" si="4"/>
        <v>0</v>
      </c>
      <c r="P89" s="157">
        <f t="shared" si="5"/>
        <v>0</v>
      </c>
      <c r="Q89" s="125">
        <f t="shared" si="3"/>
        <v>0</v>
      </c>
    </row>
    <row r="90" spans="7:17" ht="15.75" x14ac:dyDescent="0.25">
      <c r="G90" s="154">
        <v>84</v>
      </c>
      <c r="H90" s="148"/>
      <c r="I90" s="37"/>
      <c r="J90" s="37"/>
      <c r="K90" s="37"/>
      <c r="L90" s="37"/>
      <c r="M90" s="37"/>
      <c r="N90" s="37"/>
      <c r="O90" s="129">
        <f t="shared" si="4"/>
        <v>0</v>
      </c>
      <c r="P90" s="157">
        <f t="shared" si="5"/>
        <v>0</v>
      </c>
      <c r="Q90" s="125">
        <f t="shared" si="3"/>
        <v>0</v>
      </c>
    </row>
    <row r="91" spans="7:17" ht="15.75" x14ac:dyDescent="0.25">
      <c r="G91" s="154">
        <v>85</v>
      </c>
      <c r="H91" s="148"/>
      <c r="I91" s="37"/>
      <c r="J91" s="37"/>
      <c r="K91" s="37"/>
      <c r="L91" s="37"/>
      <c r="M91" s="37"/>
      <c r="N91" s="37"/>
      <c r="O91" s="129">
        <f t="shared" si="4"/>
        <v>0</v>
      </c>
      <c r="P91" s="157">
        <f t="shared" si="5"/>
        <v>0</v>
      </c>
      <c r="Q91" s="125">
        <f t="shared" si="3"/>
        <v>0</v>
      </c>
    </row>
    <row r="92" spans="7:17" ht="15.75" x14ac:dyDescent="0.25">
      <c r="G92" s="154">
        <v>86</v>
      </c>
      <c r="H92" s="148"/>
      <c r="I92" s="37"/>
      <c r="J92" s="37"/>
      <c r="K92" s="37"/>
      <c r="L92" s="37"/>
      <c r="M92" s="37"/>
      <c r="N92" s="37"/>
      <c r="O92" s="129">
        <f t="shared" si="4"/>
        <v>0</v>
      </c>
      <c r="P92" s="157">
        <f t="shared" si="5"/>
        <v>0</v>
      </c>
      <c r="Q92" s="125">
        <f t="shared" si="3"/>
        <v>0</v>
      </c>
    </row>
    <row r="93" spans="7:17" ht="15.75" x14ac:dyDescent="0.25">
      <c r="G93" s="154">
        <v>87</v>
      </c>
      <c r="H93" s="148"/>
      <c r="I93" s="37"/>
      <c r="J93" s="37"/>
      <c r="K93" s="37"/>
      <c r="L93" s="37"/>
      <c r="M93" s="37"/>
      <c r="N93" s="37"/>
      <c r="O93" s="129">
        <f t="shared" si="4"/>
        <v>0</v>
      </c>
      <c r="P93" s="157">
        <f t="shared" si="5"/>
        <v>0</v>
      </c>
      <c r="Q93" s="125">
        <f t="shared" si="3"/>
        <v>0</v>
      </c>
    </row>
    <row r="94" spans="7:17" ht="15.75" x14ac:dyDescent="0.25">
      <c r="G94" s="154">
        <v>88</v>
      </c>
      <c r="H94" s="148"/>
      <c r="I94" s="37"/>
      <c r="J94" s="37"/>
      <c r="K94" s="37"/>
      <c r="L94" s="37"/>
      <c r="M94" s="37"/>
      <c r="N94" s="37"/>
      <c r="O94" s="129">
        <f t="shared" si="4"/>
        <v>0</v>
      </c>
      <c r="P94" s="157">
        <f t="shared" si="5"/>
        <v>0</v>
      </c>
      <c r="Q94" s="125">
        <f t="shared" si="3"/>
        <v>0</v>
      </c>
    </row>
    <row r="95" spans="7:17" ht="15.75" x14ac:dyDescent="0.25">
      <c r="G95" s="154">
        <v>89</v>
      </c>
      <c r="H95" s="148"/>
      <c r="I95" s="37"/>
      <c r="J95" s="37"/>
      <c r="K95" s="37"/>
      <c r="L95" s="37"/>
      <c r="M95" s="37"/>
      <c r="N95" s="37"/>
      <c r="O95" s="129">
        <f t="shared" si="4"/>
        <v>0</v>
      </c>
      <c r="P95" s="157">
        <f t="shared" si="5"/>
        <v>0</v>
      </c>
      <c r="Q95" s="125">
        <f t="shared" si="3"/>
        <v>0</v>
      </c>
    </row>
    <row r="96" spans="7:17" ht="15.75" x14ac:dyDescent="0.25">
      <c r="G96" s="154">
        <v>90</v>
      </c>
      <c r="H96" s="148"/>
      <c r="I96" s="37"/>
      <c r="J96" s="37"/>
      <c r="K96" s="37"/>
      <c r="L96" s="37"/>
      <c r="M96" s="37"/>
      <c r="N96" s="37"/>
      <c r="O96" s="129">
        <f t="shared" si="4"/>
        <v>0</v>
      </c>
      <c r="P96" s="157">
        <f t="shared" si="5"/>
        <v>0</v>
      </c>
      <c r="Q96" s="125">
        <f t="shared" si="3"/>
        <v>0</v>
      </c>
    </row>
    <row r="97" spans="7:17" ht="15.75" x14ac:dyDescent="0.25">
      <c r="G97" s="154">
        <v>91</v>
      </c>
      <c r="H97" s="148"/>
      <c r="I97" s="37"/>
      <c r="J97" s="37"/>
      <c r="K97" s="37"/>
      <c r="L97" s="37"/>
      <c r="M97" s="37"/>
      <c r="N97" s="37"/>
      <c r="O97" s="129">
        <f t="shared" si="4"/>
        <v>0</v>
      </c>
      <c r="P97" s="157">
        <f t="shared" si="5"/>
        <v>0</v>
      </c>
      <c r="Q97" s="125">
        <f t="shared" si="3"/>
        <v>0</v>
      </c>
    </row>
    <row r="98" spans="7:17" ht="15.75" x14ac:dyDescent="0.25">
      <c r="G98" s="154">
        <v>92</v>
      </c>
      <c r="H98" s="148"/>
      <c r="I98" s="37"/>
      <c r="J98" s="37"/>
      <c r="K98" s="37"/>
      <c r="L98" s="37"/>
      <c r="M98" s="37"/>
      <c r="N98" s="37"/>
      <c r="O98" s="129">
        <f t="shared" si="4"/>
        <v>0</v>
      </c>
      <c r="P98" s="157">
        <f t="shared" si="5"/>
        <v>0</v>
      </c>
      <c r="Q98" s="125">
        <f t="shared" si="3"/>
        <v>0</v>
      </c>
    </row>
    <row r="99" spans="7:17" ht="15.75" x14ac:dyDescent="0.25">
      <c r="G99" s="154">
        <v>93</v>
      </c>
      <c r="H99" s="148"/>
      <c r="I99" s="37"/>
      <c r="J99" s="37"/>
      <c r="K99" s="37"/>
      <c r="L99" s="37"/>
      <c r="M99" s="37"/>
      <c r="N99" s="37"/>
      <c r="O99" s="129">
        <f t="shared" si="4"/>
        <v>0</v>
      </c>
      <c r="P99" s="157">
        <f t="shared" si="5"/>
        <v>0</v>
      </c>
      <c r="Q99" s="125">
        <f t="shared" si="3"/>
        <v>0</v>
      </c>
    </row>
    <row r="100" spans="7:17" ht="15.75" x14ac:dyDescent="0.25">
      <c r="G100" s="154">
        <v>94</v>
      </c>
      <c r="H100" s="148"/>
      <c r="I100" s="37"/>
      <c r="J100" s="37"/>
      <c r="K100" s="37"/>
      <c r="L100" s="37"/>
      <c r="M100" s="37"/>
      <c r="N100" s="37"/>
      <c r="O100" s="129">
        <f t="shared" si="4"/>
        <v>0</v>
      </c>
      <c r="P100" s="157">
        <f t="shared" si="5"/>
        <v>0</v>
      </c>
      <c r="Q100" s="125">
        <f t="shared" si="3"/>
        <v>0</v>
      </c>
    </row>
    <row r="101" spans="7:17" ht="15.75" x14ac:dyDescent="0.25">
      <c r="G101" s="154">
        <v>95</v>
      </c>
      <c r="H101" s="148"/>
      <c r="I101" s="37"/>
      <c r="J101" s="37"/>
      <c r="K101" s="37"/>
      <c r="L101" s="37"/>
      <c r="M101" s="37"/>
      <c r="N101" s="37"/>
      <c r="O101" s="129">
        <f t="shared" si="4"/>
        <v>0</v>
      </c>
      <c r="P101" s="157">
        <f t="shared" si="5"/>
        <v>0</v>
      </c>
      <c r="Q101" s="125">
        <f t="shared" si="3"/>
        <v>0</v>
      </c>
    </row>
    <row r="102" spans="7:17" ht="15.75" x14ac:dyDescent="0.25">
      <c r="G102" s="154">
        <v>96</v>
      </c>
      <c r="H102" s="148"/>
      <c r="I102" s="37"/>
      <c r="J102" s="37"/>
      <c r="K102" s="37"/>
      <c r="L102" s="37"/>
      <c r="M102" s="37"/>
      <c r="N102" s="37"/>
      <c r="O102" s="129">
        <f t="shared" si="4"/>
        <v>0</v>
      </c>
      <c r="P102" s="157">
        <f t="shared" si="5"/>
        <v>0</v>
      </c>
      <c r="Q102" s="125">
        <f t="shared" si="3"/>
        <v>0</v>
      </c>
    </row>
    <row r="103" spans="7:17" ht="15.75" x14ac:dyDescent="0.25">
      <c r="G103" s="154">
        <v>97</v>
      </c>
      <c r="H103" s="148"/>
      <c r="I103" s="37"/>
      <c r="J103" s="37"/>
      <c r="K103" s="37"/>
      <c r="L103" s="37"/>
      <c r="M103" s="37"/>
      <c r="N103" s="37"/>
      <c r="O103" s="129">
        <f t="shared" si="4"/>
        <v>0</v>
      </c>
      <c r="P103" s="157">
        <f t="shared" si="5"/>
        <v>0</v>
      </c>
      <c r="Q103" s="125">
        <f t="shared" si="3"/>
        <v>0</v>
      </c>
    </row>
    <row r="104" spans="7:17" ht="15.75" x14ac:dyDescent="0.25">
      <c r="G104" s="154">
        <v>98</v>
      </c>
      <c r="H104" s="148"/>
      <c r="I104" s="37"/>
      <c r="J104" s="37"/>
      <c r="K104" s="37"/>
      <c r="L104" s="37"/>
      <c r="M104" s="37"/>
      <c r="N104" s="37"/>
      <c r="O104" s="129">
        <f t="shared" si="4"/>
        <v>0</v>
      </c>
      <c r="P104" s="157">
        <f t="shared" si="5"/>
        <v>0</v>
      </c>
      <c r="Q104" s="125">
        <f t="shared" si="3"/>
        <v>0</v>
      </c>
    </row>
    <row r="105" spans="7:17" ht="15.75" x14ac:dyDescent="0.25">
      <c r="G105" s="154">
        <v>99</v>
      </c>
      <c r="H105" s="148"/>
      <c r="I105" s="37"/>
      <c r="J105" s="37"/>
      <c r="K105" s="37"/>
      <c r="L105" s="37"/>
      <c r="M105" s="37"/>
      <c r="N105" s="37"/>
      <c r="O105" s="129">
        <f t="shared" si="4"/>
        <v>0</v>
      </c>
      <c r="P105" s="157">
        <f t="shared" si="5"/>
        <v>0</v>
      </c>
      <c r="Q105" s="125">
        <f t="shared" si="3"/>
        <v>0</v>
      </c>
    </row>
    <row r="106" spans="7:17" ht="15.75" x14ac:dyDescent="0.25">
      <c r="G106" s="154">
        <v>100</v>
      </c>
      <c r="H106" s="148"/>
      <c r="I106" s="37"/>
      <c r="J106" s="37"/>
      <c r="K106" s="37"/>
      <c r="L106" s="37"/>
      <c r="M106" s="37"/>
      <c r="N106" s="37"/>
      <c r="O106" s="129">
        <f t="shared" si="4"/>
        <v>0</v>
      </c>
      <c r="P106" s="157">
        <f t="shared" si="5"/>
        <v>0</v>
      </c>
      <c r="Q106" s="125">
        <f t="shared" si="3"/>
        <v>0</v>
      </c>
    </row>
    <row r="107" spans="7:17" ht="15.75" x14ac:dyDescent="0.25">
      <c r="G107" s="154">
        <v>101</v>
      </c>
      <c r="H107" s="148"/>
      <c r="I107" s="37"/>
      <c r="J107" s="37"/>
      <c r="K107" s="37"/>
      <c r="L107" s="37"/>
      <c r="M107" s="37"/>
      <c r="N107" s="37"/>
      <c r="O107" s="129">
        <f t="shared" si="4"/>
        <v>0</v>
      </c>
      <c r="P107" s="157">
        <f t="shared" si="5"/>
        <v>0</v>
      </c>
      <c r="Q107" s="125">
        <f t="shared" si="3"/>
        <v>0</v>
      </c>
    </row>
    <row r="108" spans="7:17" ht="15.75" x14ac:dyDescent="0.25">
      <c r="G108" s="154">
        <v>102</v>
      </c>
      <c r="H108" s="148"/>
      <c r="I108" s="37"/>
      <c r="J108" s="37"/>
      <c r="K108" s="37"/>
      <c r="L108" s="37"/>
      <c r="M108" s="37"/>
      <c r="N108" s="37"/>
      <c r="O108" s="129">
        <f t="shared" si="4"/>
        <v>0</v>
      </c>
      <c r="P108" s="157">
        <f t="shared" si="5"/>
        <v>0</v>
      </c>
      <c r="Q108" s="125">
        <f t="shared" si="3"/>
        <v>0</v>
      </c>
    </row>
    <row r="109" spans="7:17" ht="15.75" x14ac:dyDescent="0.25">
      <c r="G109" s="154">
        <v>103</v>
      </c>
      <c r="H109" s="148"/>
      <c r="I109" s="37"/>
      <c r="J109" s="37"/>
      <c r="K109" s="37"/>
      <c r="L109" s="37"/>
      <c r="M109" s="37"/>
      <c r="N109" s="37"/>
      <c r="O109" s="129">
        <f t="shared" si="4"/>
        <v>0</v>
      </c>
      <c r="P109" s="157">
        <f t="shared" si="5"/>
        <v>0</v>
      </c>
      <c r="Q109" s="125">
        <f t="shared" si="3"/>
        <v>0</v>
      </c>
    </row>
    <row r="110" spans="7:17" ht="15.75" x14ac:dyDescent="0.25">
      <c r="G110" s="154">
        <v>104</v>
      </c>
      <c r="H110" s="148"/>
      <c r="I110" s="37"/>
      <c r="J110" s="37"/>
      <c r="K110" s="37"/>
      <c r="L110" s="37"/>
      <c r="M110" s="37"/>
      <c r="N110" s="37"/>
      <c r="O110" s="129">
        <f t="shared" si="4"/>
        <v>0</v>
      </c>
      <c r="P110" s="157">
        <f t="shared" si="5"/>
        <v>0</v>
      </c>
      <c r="Q110" s="125">
        <f t="shared" si="3"/>
        <v>0</v>
      </c>
    </row>
    <row r="111" spans="7:17" ht="15.75" x14ac:dyDescent="0.25">
      <c r="G111" s="154">
        <v>105</v>
      </c>
      <c r="H111" s="148"/>
      <c r="I111" s="37"/>
      <c r="J111" s="37"/>
      <c r="K111" s="37"/>
      <c r="L111" s="37"/>
      <c r="M111" s="37"/>
      <c r="N111" s="37"/>
      <c r="O111" s="129">
        <f t="shared" si="4"/>
        <v>0</v>
      </c>
      <c r="P111" s="157">
        <f t="shared" si="5"/>
        <v>0</v>
      </c>
      <c r="Q111" s="125">
        <f t="shared" si="3"/>
        <v>0</v>
      </c>
    </row>
    <row r="112" spans="7:17" ht="15.75" x14ac:dyDescent="0.25">
      <c r="G112" s="154">
        <v>106</v>
      </c>
      <c r="H112" s="148"/>
      <c r="I112" s="37"/>
      <c r="J112" s="37"/>
      <c r="K112" s="37"/>
      <c r="L112" s="37"/>
      <c r="M112" s="37"/>
      <c r="N112" s="37"/>
      <c r="O112" s="129">
        <f t="shared" si="4"/>
        <v>0</v>
      </c>
      <c r="P112" s="157">
        <f t="shared" si="5"/>
        <v>0</v>
      </c>
      <c r="Q112" s="125">
        <f t="shared" si="3"/>
        <v>0</v>
      </c>
    </row>
    <row r="113" spans="7:17" ht="15.75" x14ac:dyDescent="0.25">
      <c r="G113" s="154">
        <v>107</v>
      </c>
      <c r="H113" s="148"/>
      <c r="I113" s="37"/>
      <c r="J113" s="37"/>
      <c r="K113" s="37"/>
      <c r="L113" s="37"/>
      <c r="M113" s="37"/>
      <c r="N113" s="37"/>
      <c r="O113" s="129">
        <f t="shared" si="4"/>
        <v>0</v>
      </c>
      <c r="P113" s="157">
        <f t="shared" si="5"/>
        <v>0</v>
      </c>
      <c r="Q113" s="125">
        <f t="shared" si="3"/>
        <v>0</v>
      </c>
    </row>
    <row r="114" spans="7:17" ht="15.75" x14ac:dyDescent="0.25">
      <c r="G114" s="154">
        <v>108</v>
      </c>
      <c r="H114" s="148"/>
      <c r="I114" s="37"/>
      <c r="J114" s="37"/>
      <c r="K114" s="37"/>
      <c r="L114" s="37"/>
      <c r="M114" s="37"/>
      <c r="N114" s="37"/>
      <c r="O114" s="129">
        <f t="shared" si="4"/>
        <v>0</v>
      </c>
      <c r="P114" s="157">
        <f t="shared" si="5"/>
        <v>0</v>
      </c>
      <c r="Q114" s="125">
        <f t="shared" si="3"/>
        <v>0</v>
      </c>
    </row>
    <row r="115" spans="7:17" ht="15.75" x14ac:dyDescent="0.25">
      <c r="G115" s="154">
        <v>109</v>
      </c>
      <c r="H115" s="148"/>
      <c r="I115" s="37"/>
      <c r="J115" s="37"/>
      <c r="K115" s="37"/>
      <c r="L115" s="37"/>
      <c r="M115" s="37"/>
      <c r="N115" s="37"/>
      <c r="O115" s="129">
        <f t="shared" si="4"/>
        <v>0</v>
      </c>
      <c r="P115" s="157">
        <f t="shared" si="5"/>
        <v>0</v>
      </c>
      <c r="Q115" s="125">
        <f t="shared" si="3"/>
        <v>0</v>
      </c>
    </row>
    <row r="116" spans="7:17" ht="15.75" x14ac:dyDescent="0.25">
      <c r="G116" s="154">
        <v>110</v>
      </c>
      <c r="H116" s="148"/>
      <c r="I116" s="37"/>
      <c r="J116" s="37"/>
      <c r="K116" s="37"/>
      <c r="L116" s="37"/>
      <c r="M116" s="37"/>
      <c r="N116" s="37"/>
      <c r="O116" s="129">
        <f t="shared" si="4"/>
        <v>0</v>
      </c>
      <c r="P116" s="157">
        <f t="shared" si="5"/>
        <v>0</v>
      </c>
      <c r="Q116" s="125">
        <f t="shared" si="3"/>
        <v>0</v>
      </c>
    </row>
    <row r="117" spans="7:17" ht="15.75" x14ac:dyDescent="0.25">
      <c r="G117" s="154">
        <v>111</v>
      </c>
      <c r="H117" s="148"/>
      <c r="I117" s="37"/>
      <c r="J117" s="37"/>
      <c r="K117" s="37"/>
      <c r="L117" s="37"/>
      <c r="M117" s="37"/>
      <c r="N117" s="37"/>
      <c r="O117" s="129">
        <f t="shared" si="4"/>
        <v>0</v>
      </c>
      <c r="P117" s="157">
        <f t="shared" si="5"/>
        <v>0</v>
      </c>
      <c r="Q117" s="125">
        <f t="shared" si="3"/>
        <v>0</v>
      </c>
    </row>
    <row r="118" spans="7:17" ht="15.75" x14ac:dyDescent="0.25">
      <c r="G118" s="154">
        <v>112</v>
      </c>
      <c r="H118" s="148"/>
      <c r="I118" s="37"/>
      <c r="J118" s="37"/>
      <c r="K118" s="37"/>
      <c r="L118" s="37"/>
      <c r="M118" s="37"/>
      <c r="N118" s="37"/>
      <c r="O118" s="129">
        <f t="shared" si="4"/>
        <v>0</v>
      </c>
      <c r="P118" s="157">
        <f t="shared" si="5"/>
        <v>0</v>
      </c>
      <c r="Q118" s="125">
        <f t="shared" si="3"/>
        <v>0</v>
      </c>
    </row>
    <row r="119" spans="7:17" ht="15.75" x14ac:dyDescent="0.25">
      <c r="G119" s="154">
        <v>113</v>
      </c>
      <c r="H119" s="148"/>
      <c r="I119" s="37"/>
      <c r="J119" s="37"/>
      <c r="K119" s="37"/>
      <c r="L119" s="37"/>
      <c r="M119" s="37"/>
      <c r="N119" s="37"/>
      <c r="O119" s="129">
        <f t="shared" si="4"/>
        <v>0</v>
      </c>
      <c r="P119" s="157">
        <f t="shared" si="5"/>
        <v>0</v>
      </c>
      <c r="Q119" s="125">
        <f t="shared" si="3"/>
        <v>0</v>
      </c>
    </row>
    <row r="120" spans="7:17" ht="15.75" x14ac:dyDescent="0.25">
      <c r="G120" s="154">
        <v>114</v>
      </c>
      <c r="H120" s="148"/>
      <c r="I120" s="37"/>
      <c r="J120" s="37"/>
      <c r="K120" s="37"/>
      <c r="L120" s="37"/>
      <c r="M120" s="37"/>
      <c r="N120" s="37"/>
      <c r="O120" s="129">
        <f t="shared" si="4"/>
        <v>0</v>
      </c>
      <c r="P120" s="157">
        <f t="shared" si="5"/>
        <v>0</v>
      </c>
      <c r="Q120" s="125">
        <f t="shared" si="3"/>
        <v>0</v>
      </c>
    </row>
    <row r="121" spans="7:17" ht="15.75" x14ac:dyDescent="0.25">
      <c r="G121" s="154">
        <v>115</v>
      </c>
      <c r="H121" s="148"/>
      <c r="I121" s="37"/>
      <c r="J121" s="37"/>
      <c r="K121" s="37"/>
      <c r="L121" s="37"/>
      <c r="M121" s="37"/>
      <c r="N121" s="37"/>
      <c r="O121" s="129">
        <f t="shared" si="4"/>
        <v>0</v>
      </c>
      <c r="P121" s="157">
        <f t="shared" si="5"/>
        <v>0</v>
      </c>
      <c r="Q121" s="125">
        <f t="shared" si="3"/>
        <v>0</v>
      </c>
    </row>
    <row r="122" spans="7:17" ht="15.75" x14ac:dyDescent="0.25">
      <c r="G122" s="154">
        <v>116</v>
      </c>
      <c r="H122" s="148"/>
      <c r="I122" s="37"/>
      <c r="J122" s="37"/>
      <c r="K122" s="37"/>
      <c r="L122" s="37"/>
      <c r="M122" s="37"/>
      <c r="N122" s="37"/>
      <c r="O122" s="129">
        <f t="shared" si="4"/>
        <v>0</v>
      </c>
      <c r="P122" s="157">
        <f t="shared" si="5"/>
        <v>0</v>
      </c>
      <c r="Q122" s="125">
        <f t="shared" si="3"/>
        <v>0</v>
      </c>
    </row>
    <row r="123" spans="7:17" ht="15.75" x14ac:dyDescent="0.25">
      <c r="G123" s="154">
        <v>117</v>
      </c>
      <c r="H123" s="148"/>
      <c r="I123" s="37"/>
      <c r="J123" s="37"/>
      <c r="K123" s="37"/>
      <c r="L123" s="37"/>
      <c r="M123" s="37"/>
      <c r="N123" s="37"/>
      <c r="O123" s="129">
        <f t="shared" si="4"/>
        <v>0</v>
      </c>
      <c r="P123" s="157">
        <f t="shared" si="5"/>
        <v>0</v>
      </c>
      <c r="Q123" s="125">
        <f t="shared" si="3"/>
        <v>0</v>
      </c>
    </row>
    <row r="124" spans="7:17" ht="15.75" x14ac:dyDescent="0.25">
      <c r="G124" s="154">
        <v>118</v>
      </c>
      <c r="H124" s="148"/>
      <c r="I124" s="37"/>
      <c r="J124" s="37"/>
      <c r="K124" s="37"/>
      <c r="L124" s="37"/>
      <c r="M124" s="37"/>
      <c r="N124" s="37"/>
      <c r="O124" s="129">
        <f t="shared" si="4"/>
        <v>0</v>
      </c>
      <c r="P124" s="157">
        <f t="shared" si="5"/>
        <v>0</v>
      </c>
      <c r="Q124" s="125">
        <f t="shared" si="3"/>
        <v>0</v>
      </c>
    </row>
    <row r="125" spans="7:17" ht="15.75" x14ac:dyDescent="0.25">
      <c r="G125" s="154">
        <v>119</v>
      </c>
      <c r="H125" s="148"/>
      <c r="I125" s="37"/>
      <c r="J125" s="37"/>
      <c r="K125" s="37"/>
      <c r="L125" s="37"/>
      <c r="M125" s="37"/>
      <c r="N125" s="37"/>
      <c r="O125" s="129">
        <f t="shared" si="4"/>
        <v>0</v>
      </c>
      <c r="P125" s="157">
        <f t="shared" si="5"/>
        <v>0</v>
      </c>
      <c r="Q125" s="125">
        <f t="shared" si="3"/>
        <v>0</v>
      </c>
    </row>
    <row r="126" spans="7:17" ht="15.75" x14ac:dyDescent="0.25">
      <c r="G126" s="154">
        <v>120</v>
      </c>
      <c r="H126" s="148"/>
      <c r="I126" s="37"/>
      <c r="J126" s="37"/>
      <c r="K126" s="37"/>
      <c r="L126" s="37"/>
      <c r="M126" s="37"/>
      <c r="N126" s="37"/>
      <c r="O126" s="129">
        <f t="shared" si="4"/>
        <v>0</v>
      </c>
      <c r="P126" s="157">
        <f t="shared" si="5"/>
        <v>0</v>
      </c>
      <c r="Q126" s="125">
        <f t="shared" si="3"/>
        <v>0</v>
      </c>
    </row>
    <row r="127" spans="7:17" ht="15.75" x14ac:dyDescent="0.25">
      <c r="G127" s="154">
        <v>121</v>
      </c>
      <c r="H127" s="148"/>
      <c r="I127" s="37"/>
      <c r="J127" s="37"/>
      <c r="K127" s="37"/>
      <c r="L127" s="37"/>
      <c r="M127" s="37"/>
      <c r="N127" s="37"/>
      <c r="O127" s="129">
        <f t="shared" si="4"/>
        <v>0</v>
      </c>
      <c r="P127" s="157">
        <f t="shared" si="5"/>
        <v>0</v>
      </c>
      <c r="Q127" s="125">
        <f t="shared" si="3"/>
        <v>0</v>
      </c>
    </row>
    <row r="128" spans="7:17" ht="15.75" x14ac:dyDescent="0.25">
      <c r="G128" s="154">
        <v>122</v>
      </c>
      <c r="H128" s="148"/>
      <c r="I128" s="37"/>
      <c r="J128" s="37"/>
      <c r="K128" s="37"/>
      <c r="L128" s="37"/>
      <c r="M128" s="37"/>
      <c r="N128" s="37"/>
      <c r="O128" s="129">
        <f t="shared" si="4"/>
        <v>0</v>
      </c>
      <c r="P128" s="157">
        <f t="shared" si="5"/>
        <v>0</v>
      </c>
      <c r="Q128" s="125">
        <f t="shared" si="3"/>
        <v>0</v>
      </c>
    </row>
    <row r="129" spans="7:17" ht="15.75" x14ac:dyDescent="0.25">
      <c r="G129" s="154">
        <v>123</v>
      </c>
      <c r="H129" s="148"/>
      <c r="I129" s="37"/>
      <c r="J129" s="37"/>
      <c r="K129" s="37"/>
      <c r="L129" s="37"/>
      <c r="M129" s="37"/>
      <c r="N129" s="37"/>
      <c r="O129" s="129">
        <f t="shared" si="4"/>
        <v>0</v>
      </c>
      <c r="P129" s="157">
        <f t="shared" si="5"/>
        <v>0</v>
      </c>
      <c r="Q129" s="125">
        <f t="shared" si="3"/>
        <v>0</v>
      </c>
    </row>
    <row r="130" spans="7:17" ht="15.75" x14ac:dyDescent="0.25">
      <c r="G130" s="154">
        <v>124</v>
      </c>
      <c r="H130" s="148"/>
      <c r="I130" s="37"/>
      <c r="J130" s="37"/>
      <c r="K130" s="37"/>
      <c r="L130" s="37"/>
      <c r="M130" s="37"/>
      <c r="N130" s="37"/>
      <c r="O130" s="129">
        <f t="shared" si="4"/>
        <v>0</v>
      </c>
      <c r="P130" s="157">
        <f t="shared" si="5"/>
        <v>0</v>
      </c>
      <c r="Q130" s="125">
        <f t="shared" si="3"/>
        <v>0</v>
      </c>
    </row>
    <row r="131" spans="7:17" ht="15.75" x14ac:dyDescent="0.25">
      <c r="G131" s="154">
        <v>125</v>
      </c>
      <c r="H131" s="148"/>
      <c r="I131" s="37"/>
      <c r="J131" s="37"/>
      <c r="K131" s="37"/>
      <c r="L131" s="37"/>
      <c r="M131" s="37"/>
      <c r="N131" s="37"/>
      <c r="O131" s="129">
        <f t="shared" si="4"/>
        <v>0</v>
      </c>
      <c r="P131" s="157">
        <f t="shared" si="5"/>
        <v>0</v>
      </c>
      <c r="Q131" s="125">
        <f t="shared" si="3"/>
        <v>0</v>
      </c>
    </row>
    <row r="132" spans="7:17" ht="15.75" x14ac:dyDescent="0.25">
      <c r="G132" s="154">
        <v>126</v>
      </c>
      <c r="H132" s="148"/>
      <c r="I132" s="37"/>
      <c r="J132" s="37"/>
      <c r="K132" s="37"/>
      <c r="L132" s="37"/>
      <c r="M132" s="37"/>
      <c r="N132" s="37"/>
      <c r="O132" s="129">
        <f t="shared" si="4"/>
        <v>0</v>
      </c>
      <c r="P132" s="157">
        <f t="shared" si="5"/>
        <v>0</v>
      </c>
      <c r="Q132" s="125">
        <f t="shared" si="3"/>
        <v>0</v>
      </c>
    </row>
    <row r="133" spans="7:17" ht="15.75" x14ac:dyDescent="0.25">
      <c r="G133" s="154">
        <v>127</v>
      </c>
      <c r="H133" s="148"/>
      <c r="I133" s="37"/>
      <c r="J133" s="37"/>
      <c r="K133" s="37"/>
      <c r="L133" s="37"/>
      <c r="M133" s="37"/>
      <c r="N133" s="37"/>
      <c r="O133" s="129">
        <f t="shared" si="4"/>
        <v>0</v>
      </c>
      <c r="P133" s="157">
        <f t="shared" si="5"/>
        <v>0</v>
      </c>
      <c r="Q133" s="125">
        <f t="shared" si="3"/>
        <v>0</v>
      </c>
    </row>
    <row r="134" spans="7:17" ht="15.75" x14ac:dyDescent="0.25">
      <c r="G134" s="154">
        <v>128</v>
      </c>
      <c r="H134" s="148"/>
      <c r="I134" s="37"/>
      <c r="J134" s="37"/>
      <c r="K134" s="37"/>
      <c r="L134" s="37"/>
      <c r="M134" s="37"/>
      <c r="N134" s="37"/>
      <c r="O134" s="129">
        <f t="shared" si="4"/>
        <v>0</v>
      </c>
      <c r="P134" s="157">
        <f t="shared" si="5"/>
        <v>0</v>
      </c>
      <c r="Q134" s="125">
        <f t="shared" si="3"/>
        <v>0</v>
      </c>
    </row>
    <row r="135" spans="7:17" ht="15.75" x14ac:dyDescent="0.25">
      <c r="G135" s="154">
        <v>129</v>
      </c>
      <c r="H135" s="148"/>
      <c r="I135" s="37"/>
      <c r="J135" s="37"/>
      <c r="K135" s="37"/>
      <c r="L135" s="37"/>
      <c r="M135" s="37"/>
      <c r="N135" s="37"/>
      <c r="O135" s="129">
        <f t="shared" si="4"/>
        <v>0</v>
      </c>
      <c r="P135" s="157">
        <f t="shared" si="5"/>
        <v>0</v>
      </c>
      <c r="Q135" s="125">
        <f t="shared" ref="Q135:Q198" si="6" xml:space="preserve"> IFERROR(   ( (  IF($H135 = "N/A",  0, $H135) + IF($I135 = "N/A",  0, $I135) + IF($J135 = "N/A",  0, $J135) + IF($K135 = "N/A",  0, $K135) + IF($L135 = "N/A",  0, $L135) + IF($M135 = "N/A",  0, $M135)  )*100 / (  IF($H135 = "N/A",  0, C_1_Weight) + IF($I135 = "N/A",  0, C_2_Weight) + IF($J135 = "N/A",  0, C_3_Weight) + IF($K135 = "N/A",  0, C_4_Weight) + IF($L135 = "N/A",  0, C_5_Weight) + IF($M135 = "N/A",  0, C_6_Weight)  ) +$O135 ), "Not Yet Rated")</f>
        <v>0</v>
      </c>
    </row>
    <row r="136" spans="7:17" ht="15.75" x14ac:dyDescent="0.25">
      <c r="G136" s="154">
        <v>130</v>
      </c>
      <c r="H136" s="148"/>
      <c r="I136" s="37"/>
      <c r="J136" s="37"/>
      <c r="K136" s="37"/>
      <c r="L136" s="37"/>
      <c r="M136" s="37"/>
      <c r="N136" s="37"/>
      <c r="O136" s="129">
        <f t="shared" ref="O136:O199" si="7">IF( COUNTIF($N136:$N136,"Fail") &gt; 0, -0.2, 0 )</f>
        <v>0</v>
      </c>
      <c r="P136" s="157">
        <f t="shared" ref="P136:P199" si="8">IFERROR( IF(   ($Q136) &lt; 0, 0,   ($Q136)   ), "Not Yet Rated")*5</f>
        <v>0</v>
      </c>
      <c r="Q136" s="125">
        <f t="shared" si="6"/>
        <v>0</v>
      </c>
    </row>
    <row r="137" spans="7:17" ht="15.75" x14ac:dyDescent="0.25">
      <c r="G137" s="154">
        <v>131</v>
      </c>
      <c r="H137" s="148"/>
      <c r="I137" s="37"/>
      <c r="J137" s="37"/>
      <c r="K137" s="37"/>
      <c r="L137" s="37"/>
      <c r="M137" s="37"/>
      <c r="N137" s="37"/>
      <c r="O137" s="129">
        <f t="shared" si="7"/>
        <v>0</v>
      </c>
      <c r="P137" s="157">
        <f t="shared" si="8"/>
        <v>0</v>
      </c>
      <c r="Q137" s="125">
        <f t="shared" si="6"/>
        <v>0</v>
      </c>
    </row>
    <row r="138" spans="7:17" ht="15.75" x14ac:dyDescent="0.25">
      <c r="G138" s="154">
        <v>132</v>
      </c>
      <c r="H138" s="148"/>
      <c r="I138" s="37"/>
      <c r="J138" s="37"/>
      <c r="K138" s="37"/>
      <c r="L138" s="37"/>
      <c r="M138" s="37"/>
      <c r="N138" s="37"/>
      <c r="O138" s="129">
        <f t="shared" si="7"/>
        <v>0</v>
      </c>
      <c r="P138" s="157">
        <f t="shared" si="8"/>
        <v>0</v>
      </c>
      <c r="Q138" s="125">
        <f t="shared" si="6"/>
        <v>0</v>
      </c>
    </row>
    <row r="139" spans="7:17" ht="15.75" x14ac:dyDescent="0.25">
      <c r="G139" s="154">
        <v>133</v>
      </c>
      <c r="H139" s="148"/>
      <c r="I139" s="37"/>
      <c r="J139" s="37"/>
      <c r="K139" s="37"/>
      <c r="L139" s="37"/>
      <c r="M139" s="37"/>
      <c r="N139" s="37"/>
      <c r="O139" s="129">
        <f t="shared" si="7"/>
        <v>0</v>
      </c>
      <c r="P139" s="157">
        <f t="shared" si="8"/>
        <v>0</v>
      </c>
      <c r="Q139" s="125">
        <f t="shared" si="6"/>
        <v>0</v>
      </c>
    </row>
    <row r="140" spans="7:17" ht="15.75" x14ac:dyDescent="0.25">
      <c r="G140" s="154">
        <v>134</v>
      </c>
      <c r="H140" s="148"/>
      <c r="I140" s="37"/>
      <c r="J140" s="37"/>
      <c r="K140" s="37"/>
      <c r="L140" s="37"/>
      <c r="M140" s="37"/>
      <c r="N140" s="37"/>
      <c r="O140" s="129">
        <f t="shared" si="7"/>
        <v>0</v>
      </c>
      <c r="P140" s="157">
        <f t="shared" si="8"/>
        <v>0</v>
      </c>
      <c r="Q140" s="125">
        <f t="shared" si="6"/>
        <v>0</v>
      </c>
    </row>
    <row r="141" spans="7:17" ht="15.75" x14ac:dyDescent="0.25">
      <c r="G141" s="154">
        <v>135</v>
      </c>
      <c r="H141" s="148"/>
      <c r="I141" s="37"/>
      <c r="J141" s="37"/>
      <c r="K141" s="37"/>
      <c r="L141" s="37"/>
      <c r="M141" s="37"/>
      <c r="N141" s="37"/>
      <c r="O141" s="129">
        <f t="shared" si="7"/>
        <v>0</v>
      </c>
      <c r="P141" s="157">
        <f t="shared" si="8"/>
        <v>0</v>
      </c>
      <c r="Q141" s="125">
        <f t="shared" si="6"/>
        <v>0</v>
      </c>
    </row>
    <row r="142" spans="7:17" ht="15.75" x14ac:dyDescent="0.25">
      <c r="G142" s="154">
        <v>136</v>
      </c>
      <c r="H142" s="148"/>
      <c r="I142" s="37"/>
      <c r="J142" s="37"/>
      <c r="K142" s="37"/>
      <c r="L142" s="37"/>
      <c r="M142" s="37"/>
      <c r="N142" s="37"/>
      <c r="O142" s="129">
        <f t="shared" si="7"/>
        <v>0</v>
      </c>
      <c r="P142" s="157">
        <f t="shared" si="8"/>
        <v>0</v>
      </c>
      <c r="Q142" s="125">
        <f t="shared" si="6"/>
        <v>0</v>
      </c>
    </row>
    <row r="143" spans="7:17" ht="15.75" x14ac:dyDescent="0.25">
      <c r="G143" s="154">
        <v>137</v>
      </c>
      <c r="H143" s="148"/>
      <c r="I143" s="37"/>
      <c r="J143" s="37"/>
      <c r="K143" s="37"/>
      <c r="L143" s="37"/>
      <c r="M143" s="37"/>
      <c r="N143" s="37"/>
      <c r="O143" s="129">
        <f t="shared" si="7"/>
        <v>0</v>
      </c>
      <c r="P143" s="157">
        <f t="shared" si="8"/>
        <v>0</v>
      </c>
      <c r="Q143" s="125">
        <f t="shared" si="6"/>
        <v>0</v>
      </c>
    </row>
    <row r="144" spans="7:17" ht="15.75" x14ac:dyDescent="0.25">
      <c r="G144" s="154">
        <v>138</v>
      </c>
      <c r="H144" s="148"/>
      <c r="I144" s="37"/>
      <c r="J144" s="37"/>
      <c r="K144" s="37"/>
      <c r="L144" s="37"/>
      <c r="M144" s="37"/>
      <c r="N144" s="37"/>
      <c r="O144" s="129">
        <f t="shared" si="7"/>
        <v>0</v>
      </c>
      <c r="P144" s="157">
        <f t="shared" si="8"/>
        <v>0</v>
      </c>
      <c r="Q144" s="125">
        <f t="shared" si="6"/>
        <v>0</v>
      </c>
    </row>
    <row r="145" spans="7:17" ht="15.75" x14ac:dyDescent="0.25">
      <c r="G145" s="154">
        <v>139</v>
      </c>
      <c r="H145" s="148"/>
      <c r="I145" s="37"/>
      <c r="J145" s="37"/>
      <c r="K145" s="37"/>
      <c r="L145" s="37"/>
      <c r="M145" s="37"/>
      <c r="N145" s="37"/>
      <c r="O145" s="129">
        <f t="shared" si="7"/>
        <v>0</v>
      </c>
      <c r="P145" s="157">
        <f t="shared" si="8"/>
        <v>0</v>
      </c>
      <c r="Q145" s="125">
        <f t="shared" si="6"/>
        <v>0</v>
      </c>
    </row>
    <row r="146" spans="7:17" ht="15.75" x14ac:dyDescent="0.25">
      <c r="G146" s="154">
        <v>140</v>
      </c>
      <c r="H146" s="148"/>
      <c r="I146" s="37"/>
      <c r="J146" s="37"/>
      <c r="K146" s="37"/>
      <c r="L146" s="37"/>
      <c r="M146" s="37"/>
      <c r="N146" s="37"/>
      <c r="O146" s="129">
        <f t="shared" si="7"/>
        <v>0</v>
      </c>
      <c r="P146" s="157">
        <f t="shared" si="8"/>
        <v>0</v>
      </c>
      <c r="Q146" s="125">
        <f t="shared" si="6"/>
        <v>0</v>
      </c>
    </row>
    <row r="147" spans="7:17" ht="15.75" x14ac:dyDescent="0.25">
      <c r="G147" s="154">
        <v>141</v>
      </c>
      <c r="H147" s="148"/>
      <c r="I147" s="37"/>
      <c r="J147" s="37"/>
      <c r="K147" s="37"/>
      <c r="L147" s="37"/>
      <c r="M147" s="37"/>
      <c r="N147" s="37"/>
      <c r="O147" s="129">
        <f t="shared" si="7"/>
        <v>0</v>
      </c>
      <c r="P147" s="157">
        <f t="shared" si="8"/>
        <v>0</v>
      </c>
      <c r="Q147" s="125">
        <f t="shared" si="6"/>
        <v>0</v>
      </c>
    </row>
    <row r="148" spans="7:17" ht="15.75" x14ac:dyDescent="0.25">
      <c r="G148" s="154">
        <v>142</v>
      </c>
      <c r="H148" s="148"/>
      <c r="I148" s="37"/>
      <c r="J148" s="37"/>
      <c r="K148" s="37"/>
      <c r="L148" s="37"/>
      <c r="M148" s="37"/>
      <c r="N148" s="37"/>
      <c r="O148" s="129">
        <f t="shared" si="7"/>
        <v>0</v>
      </c>
      <c r="P148" s="157">
        <f t="shared" si="8"/>
        <v>0</v>
      </c>
      <c r="Q148" s="125">
        <f t="shared" si="6"/>
        <v>0</v>
      </c>
    </row>
    <row r="149" spans="7:17" ht="15.75" x14ac:dyDescent="0.25">
      <c r="G149" s="154">
        <v>143</v>
      </c>
      <c r="H149" s="148"/>
      <c r="I149" s="37"/>
      <c r="J149" s="37"/>
      <c r="K149" s="37"/>
      <c r="L149" s="37"/>
      <c r="M149" s="37"/>
      <c r="N149" s="37"/>
      <c r="O149" s="129">
        <f t="shared" si="7"/>
        <v>0</v>
      </c>
      <c r="P149" s="157">
        <f t="shared" si="8"/>
        <v>0</v>
      </c>
      <c r="Q149" s="125">
        <f t="shared" si="6"/>
        <v>0</v>
      </c>
    </row>
    <row r="150" spans="7:17" ht="15.75" x14ac:dyDescent="0.25">
      <c r="G150" s="154">
        <v>144</v>
      </c>
      <c r="H150" s="148"/>
      <c r="I150" s="37"/>
      <c r="J150" s="37"/>
      <c r="K150" s="37"/>
      <c r="L150" s="37"/>
      <c r="M150" s="37"/>
      <c r="N150" s="37"/>
      <c r="O150" s="129">
        <f t="shared" si="7"/>
        <v>0</v>
      </c>
      <c r="P150" s="157">
        <f t="shared" si="8"/>
        <v>0</v>
      </c>
      <c r="Q150" s="125">
        <f t="shared" si="6"/>
        <v>0</v>
      </c>
    </row>
    <row r="151" spans="7:17" ht="15.75" x14ac:dyDescent="0.25">
      <c r="G151" s="154">
        <v>145</v>
      </c>
      <c r="H151" s="148"/>
      <c r="I151" s="37"/>
      <c r="J151" s="37"/>
      <c r="K151" s="37"/>
      <c r="L151" s="37"/>
      <c r="M151" s="37"/>
      <c r="N151" s="37"/>
      <c r="O151" s="129">
        <f t="shared" si="7"/>
        <v>0</v>
      </c>
      <c r="P151" s="157">
        <f t="shared" si="8"/>
        <v>0</v>
      </c>
      <c r="Q151" s="125">
        <f t="shared" si="6"/>
        <v>0</v>
      </c>
    </row>
    <row r="152" spans="7:17" ht="15.75" x14ac:dyDescent="0.25">
      <c r="G152" s="154">
        <v>146</v>
      </c>
      <c r="H152" s="148"/>
      <c r="I152" s="37"/>
      <c r="J152" s="37"/>
      <c r="K152" s="37"/>
      <c r="L152" s="37"/>
      <c r="M152" s="37"/>
      <c r="N152" s="37"/>
      <c r="O152" s="129">
        <f t="shared" si="7"/>
        <v>0</v>
      </c>
      <c r="P152" s="157">
        <f t="shared" si="8"/>
        <v>0</v>
      </c>
      <c r="Q152" s="125">
        <f t="shared" si="6"/>
        <v>0</v>
      </c>
    </row>
    <row r="153" spans="7:17" ht="15.75" x14ac:dyDescent="0.25">
      <c r="G153" s="154">
        <v>147</v>
      </c>
      <c r="H153" s="148"/>
      <c r="I153" s="37"/>
      <c r="J153" s="37"/>
      <c r="K153" s="37"/>
      <c r="L153" s="37"/>
      <c r="M153" s="37"/>
      <c r="N153" s="37"/>
      <c r="O153" s="129">
        <f t="shared" si="7"/>
        <v>0</v>
      </c>
      <c r="P153" s="157">
        <f t="shared" si="8"/>
        <v>0</v>
      </c>
      <c r="Q153" s="125">
        <f t="shared" si="6"/>
        <v>0</v>
      </c>
    </row>
    <row r="154" spans="7:17" ht="15.75" x14ac:dyDescent="0.25">
      <c r="G154" s="154">
        <v>148</v>
      </c>
      <c r="H154" s="148"/>
      <c r="I154" s="37"/>
      <c r="J154" s="37"/>
      <c r="K154" s="37"/>
      <c r="L154" s="37"/>
      <c r="M154" s="37"/>
      <c r="N154" s="37"/>
      <c r="O154" s="129">
        <f t="shared" si="7"/>
        <v>0</v>
      </c>
      <c r="P154" s="157">
        <f t="shared" si="8"/>
        <v>0</v>
      </c>
      <c r="Q154" s="125">
        <f t="shared" si="6"/>
        <v>0</v>
      </c>
    </row>
    <row r="155" spans="7:17" ht="15.75" x14ac:dyDescent="0.25">
      <c r="G155" s="154">
        <v>149</v>
      </c>
      <c r="H155" s="148"/>
      <c r="I155" s="37"/>
      <c r="J155" s="37"/>
      <c r="K155" s="37"/>
      <c r="L155" s="37"/>
      <c r="M155" s="37"/>
      <c r="N155" s="37"/>
      <c r="O155" s="129">
        <f t="shared" si="7"/>
        <v>0</v>
      </c>
      <c r="P155" s="157">
        <f t="shared" si="8"/>
        <v>0</v>
      </c>
      <c r="Q155" s="125">
        <f t="shared" si="6"/>
        <v>0</v>
      </c>
    </row>
    <row r="156" spans="7:17" ht="15.75" x14ac:dyDescent="0.25">
      <c r="G156" s="154">
        <v>150</v>
      </c>
      <c r="H156" s="148"/>
      <c r="I156" s="37"/>
      <c r="J156" s="37"/>
      <c r="K156" s="37"/>
      <c r="L156" s="37"/>
      <c r="M156" s="37"/>
      <c r="N156" s="37"/>
      <c r="O156" s="129">
        <f t="shared" si="7"/>
        <v>0</v>
      </c>
      <c r="P156" s="157">
        <f t="shared" si="8"/>
        <v>0</v>
      </c>
      <c r="Q156" s="125">
        <f t="shared" si="6"/>
        <v>0</v>
      </c>
    </row>
    <row r="157" spans="7:17" ht="15.75" x14ac:dyDescent="0.25">
      <c r="G157" s="154">
        <v>151</v>
      </c>
      <c r="H157" s="148"/>
      <c r="I157" s="37"/>
      <c r="J157" s="37"/>
      <c r="K157" s="37"/>
      <c r="L157" s="37"/>
      <c r="M157" s="37"/>
      <c r="N157" s="37"/>
      <c r="O157" s="129">
        <f t="shared" si="7"/>
        <v>0</v>
      </c>
      <c r="P157" s="157">
        <f t="shared" si="8"/>
        <v>0</v>
      </c>
      <c r="Q157" s="125">
        <f t="shared" si="6"/>
        <v>0</v>
      </c>
    </row>
    <row r="158" spans="7:17" ht="15.75" x14ac:dyDescent="0.25">
      <c r="G158" s="154">
        <v>152</v>
      </c>
      <c r="H158" s="148"/>
      <c r="I158" s="37"/>
      <c r="J158" s="37"/>
      <c r="K158" s="37"/>
      <c r="L158" s="37"/>
      <c r="M158" s="37"/>
      <c r="N158" s="37"/>
      <c r="O158" s="129">
        <f t="shared" si="7"/>
        <v>0</v>
      </c>
      <c r="P158" s="157">
        <f t="shared" si="8"/>
        <v>0</v>
      </c>
      <c r="Q158" s="125">
        <f t="shared" si="6"/>
        <v>0</v>
      </c>
    </row>
    <row r="159" spans="7:17" ht="15.75" x14ac:dyDescent="0.25">
      <c r="G159" s="154">
        <v>153</v>
      </c>
      <c r="H159" s="148"/>
      <c r="I159" s="37"/>
      <c r="J159" s="37"/>
      <c r="K159" s="37"/>
      <c r="L159" s="37"/>
      <c r="M159" s="37"/>
      <c r="N159" s="37"/>
      <c r="O159" s="129">
        <f t="shared" si="7"/>
        <v>0</v>
      </c>
      <c r="P159" s="157">
        <f t="shared" si="8"/>
        <v>0</v>
      </c>
      <c r="Q159" s="125">
        <f t="shared" si="6"/>
        <v>0</v>
      </c>
    </row>
    <row r="160" spans="7:17" ht="15.75" x14ac:dyDescent="0.25">
      <c r="G160" s="154">
        <v>154</v>
      </c>
      <c r="H160" s="148"/>
      <c r="I160" s="37"/>
      <c r="J160" s="37"/>
      <c r="K160" s="37"/>
      <c r="L160" s="37"/>
      <c r="M160" s="37"/>
      <c r="N160" s="37"/>
      <c r="O160" s="129">
        <f t="shared" si="7"/>
        <v>0</v>
      </c>
      <c r="P160" s="157">
        <f t="shared" si="8"/>
        <v>0</v>
      </c>
      <c r="Q160" s="125">
        <f t="shared" si="6"/>
        <v>0</v>
      </c>
    </row>
    <row r="161" spans="7:17" ht="15.75" x14ac:dyDescent="0.25">
      <c r="G161" s="154">
        <v>155</v>
      </c>
      <c r="H161" s="148"/>
      <c r="I161" s="37"/>
      <c r="J161" s="37"/>
      <c r="K161" s="37"/>
      <c r="L161" s="37"/>
      <c r="M161" s="37"/>
      <c r="N161" s="37"/>
      <c r="O161" s="129">
        <f t="shared" si="7"/>
        <v>0</v>
      </c>
      <c r="P161" s="157">
        <f t="shared" si="8"/>
        <v>0</v>
      </c>
      <c r="Q161" s="125">
        <f t="shared" si="6"/>
        <v>0</v>
      </c>
    </row>
    <row r="162" spans="7:17" ht="15.75" x14ac:dyDescent="0.25">
      <c r="G162" s="154">
        <v>156</v>
      </c>
      <c r="H162" s="148"/>
      <c r="I162" s="37"/>
      <c r="J162" s="37"/>
      <c r="K162" s="37"/>
      <c r="L162" s="37"/>
      <c r="M162" s="37"/>
      <c r="N162" s="37"/>
      <c r="O162" s="129">
        <f t="shared" si="7"/>
        <v>0</v>
      </c>
      <c r="P162" s="157">
        <f t="shared" si="8"/>
        <v>0</v>
      </c>
      <c r="Q162" s="125">
        <f t="shared" si="6"/>
        <v>0</v>
      </c>
    </row>
    <row r="163" spans="7:17" ht="15.75" x14ac:dyDescent="0.25">
      <c r="G163" s="154">
        <v>157</v>
      </c>
      <c r="H163" s="148"/>
      <c r="I163" s="37"/>
      <c r="J163" s="37"/>
      <c r="K163" s="37"/>
      <c r="L163" s="37"/>
      <c r="M163" s="37"/>
      <c r="N163" s="37"/>
      <c r="O163" s="129">
        <f t="shared" si="7"/>
        <v>0</v>
      </c>
      <c r="P163" s="157">
        <f t="shared" si="8"/>
        <v>0</v>
      </c>
      <c r="Q163" s="125">
        <f t="shared" si="6"/>
        <v>0</v>
      </c>
    </row>
    <row r="164" spans="7:17" ht="15.75" x14ac:dyDescent="0.25">
      <c r="G164" s="154">
        <v>158</v>
      </c>
      <c r="H164" s="148"/>
      <c r="I164" s="37"/>
      <c r="J164" s="37"/>
      <c r="K164" s="37"/>
      <c r="L164" s="37"/>
      <c r="M164" s="37"/>
      <c r="N164" s="37"/>
      <c r="O164" s="129">
        <f t="shared" si="7"/>
        <v>0</v>
      </c>
      <c r="P164" s="157">
        <f t="shared" si="8"/>
        <v>0</v>
      </c>
      <c r="Q164" s="125">
        <f t="shared" si="6"/>
        <v>0</v>
      </c>
    </row>
    <row r="165" spans="7:17" ht="15.75" x14ac:dyDescent="0.25">
      <c r="G165" s="154">
        <v>159</v>
      </c>
      <c r="H165" s="148"/>
      <c r="I165" s="37"/>
      <c r="J165" s="37"/>
      <c r="K165" s="37"/>
      <c r="L165" s="37"/>
      <c r="M165" s="37"/>
      <c r="N165" s="37"/>
      <c r="O165" s="129">
        <f t="shared" si="7"/>
        <v>0</v>
      </c>
      <c r="P165" s="157">
        <f t="shared" si="8"/>
        <v>0</v>
      </c>
      <c r="Q165" s="125">
        <f t="shared" si="6"/>
        <v>0</v>
      </c>
    </row>
    <row r="166" spans="7:17" ht="15.75" x14ac:dyDescent="0.25">
      <c r="G166" s="154">
        <v>160</v>
      </c>
      <c r="H166" s="148"/>
      <c r="I166" s="37"/>
      <c r="J166" s="37"/>
      <c r="K166" s="37"/>
      <c r="L166" s="37"/>
      <c r="M166" s="37"/>
      <c r="N166" s="37"/>
      <c r="O166" s="129">
        <f t="shared" si="7"/>
        <v>0</v>
      </c>
      <c r="P166" s="157">
        <f t="shared" si="8"/>
        <v>0</v>
      </c>
      <c r="Q166" s="125">
        <f t="shared" si="6"/>
        <v>0</v>
      </c>
    </row>
    <row r="167" spans="7:17" ht="15.75" x14ac:dyDescent="0.25">
      <c r="G167" s="154">
        <v>161</v>
      </c>
      <c r="H167" s="148"/>
      <c r="I167" s="37"/>
      <c r="J167" s="37"/>
      <c r="K167" s="37"/>
      <c r="L167" s="37"/>
      <c r="M167" s="37"/>
      <c r="N167" s="37"/>
      <c r="O167" s="129">
        <f t="shared" si="7"/>
        <v>0</v>
      </c>
      <c r="P167" s="157">
        <f t="shared" si="8"/>
        <v>0</v>
      </c>
      <c r="Q167" s="125">
        <f t="shared" si="6"/>
        <v>0</v>
      </c>
    </row>
    <row r="168" spans="7:17" ht="15.75" x14ac:dyDescent="0.25">
      <c r="G168" s="154">
        <v>162</v>
      </c>
      <c r="H168" s="148"/>
      <c r="I168" s="37"/>
      <c r="J168" s="37"/>
      <c r="K168" s="37"/>
      <c r="L168" s="37"/>
      <c r="M168" s="37"/>
      <c r="N168" s="37"/>
      <c r="O168" s="129">
        <f t="shared" si="7"/>
        <v>0</v>
      </c>
      <c r="P168" s="157">
        <f t="shared" si="8"/>
        <v>0</v>
      </c>
      <c r="Q168" s="125">
        <f t="shared" si="6"/>
        <v>0</v>
      </c>
    </row>
    <row r="169" spans="7:17" ht="15.75" x14ac:dyDescent="0.25">
      <c r="G169" s="154">
        <v>163</v>
      </c>
      <c r="H169" s="148"/>
      <c r="I169" s="37"/>
      <c r="J169" s="37"/>
      <c r="K169" s="37"/>
      <c r="L169" s="37"/>
      <c r="M169" s="37"/>
      <c r="N169" s="37"/>
      <c r="O169" s="129">
        <f t="shared" si="7"/>
        <v>0</v>
      </c>
      <c r="P169" s="157">
        <f t="shared" si="8"/>
        <v>0</v>
      </c>
      <c r="Q169" s="125">
        <f t="shared" si="6"/>
        <v>0</v>
      </c>
    </row>
    <row r="170" spans="7:17" ht="15.75" x14ac:dyDescent="0.25">
      <c r="G170" s="154">
        <v>164</v>
      </c>
      <c r="H170" s="148"/>
      <c r="I170" s="37"/>
      <c r="J170" s="37"/>
      <c r="K170" s="37"/>
      <c r="L170" s="37"/>
      <c r="M170" s="37"/>
      <c r="N170" s="37"/>
      <c r="O170" s="129">
        <f t="shared" si="7"/>
        <v>0</v>
      </c>
      <c r="P170" s="157">
        <f t="shared" si="8"/>
        <v>0</v>
      </c>
      <c r="Q170" s="125">
        <f t="shared" si="6"/>
        <v>0</v>
      </c>
    </row>
    <row r="171" spans="7:17" ht="15.75" x14ac:dyDescent="0.25">
      <c r="G171" s="154">
        <v>165</v>
      </c>
      <c r="H171" s="148"/>
      <c r="I171" s="37"/>
      <c r="J171" s="37"/>
      <c r="K171" s="37"/>
      <c r="L171" s="37"/>
      <c r="M171" s="37"/>
      <c r="N171" s="37"/>
      <c r="O171" s="129">
        <f t="shared" si="7"/>
        <v>0</v>
      </c>
      <c r="P171" s="157">
        <f t="shared" si="8"/>
        <v>0</v>
      </c>
      <c r="Q171" s="125">
        <f t="shared" si="6"/>
        <v>0</v>
      </c>
    </row>
    <row r="172" spans="7:17" ht="15.75" x14ac:dyDescent="0.25">
      <c r="G172" s="154">
        <v>166</v>
      </c>
      <c r="H172" s="148"/>
      <c r="I172" s="37"/>
      <c r="J172" s="37"/>
      <c r="K172" s="37"/>
      <c r="L172" s="37"/>
      <c r="M172" s="37"/>
      <c r="N172" s="37"/>
      <c r="O172" s="129">
        <f t="shared" si="7"/>
        <v>0</v>
      </c>
      <c r="P172" s="157">
        <f t="shared" si="8"/>
        <v>0</v>
      </c>
      <c r="Q172" s="125">
        <f t="shared" si="6"/>
        <v>0</v>
      </c>
    </row>
    <row r="173" spans="7:17" ht="15.75" x14ac:dyDescent="0.25">
      <c r="G173" s="154">
        <v>167</v>
      </c>
      <c r="H173" s="148"/>
      <c r="I173" s="37"/>
      <c r="J173" s="37"/>
      <c r="K173" s="37"/>
      <c r="L173" s="37"/>
      <c r="M173" s="37"/>
      <c r="N173" s="37"/>
      <c r="O173" s="129">
        <f t="shared" si="7"/>
        <v>0</v>
      </c>
      <c r="P173" s="157">
        <f t="shared" si="8"/>
        <v>0</v>
      </c>
      <c r="Q173" s="125">
        <f t="shared" si="6"/>
        <v>0</v>
      </c>
    </row>
    <row r="174" spans="7:17" ht="15.75" x14ac:dyDescent="0.25">
      <c r="G174" s="154">
        <v>168</v>
      </c>
      <c r="H174" s="148"/>
      <c r="I174" s="37"/>
      <c r="J174" s="37"/>
      <c r="K174" s="37"/>
      <c r="L174" s="37"/>
      <c r="M174" s="37"/>
      <c r="N174" s="37"/>
      <c r="O174" s="129">
        <f t="shared" si="7"/>
        <v>0</v>
      </c>
      <c r="P174" s="157">
        <f t="shared" si="8"/>
        <v>0</v>
      </c>
      <c r="Q174" s="125">
        <f t="shared" si="6"/>
        <v>0</v>
      </c>
    </row>
    <row r="175" spans="7:17" ht="15.75" x14ac:dyDescent="0.25">
      <c r="G175" s="154">
        <v>169</v>
      </c>
      <c r="H175" s="148"/>
      <c r="I175" s="37"/>
      <c r="J175" s="37"/>
      <c r="K175" s="37"/>
      <c r="L175" s="37"/>
      <c r="M175" s="37"/>
      <c r="N175" s="37"/>
      <c r="O175" s="129">
        <f t="shared" si="7"/>
        <v>0</v>
      </c>
      <c r="P175" s="157">
        <f t="shared" si="8"/>
        <v>0</v>
      </c>
      <c r="Q175" s="125">
        <f t="shared" si="6"/>
        <v>0</v>
      </c>
    </row>
    <row r="176" spans="7:17" ht="15.75" x14ac:dyDescent="0.25">
      <c r="G176" s="154">
        <v>170</v>
      </c>
      <c r="H176" s="148"/>
      <c r="I176" s="37"/>
      <c r="J176" s="37"/>
      <c r="K176" s="37"/>
      <c r="L176" s="37"/>
      <c r="M176" s="37"/>
      <c r="N176" s="37"/>
      <c r="O176" s="129">
        <f t="shared" si="7"/>
        <v>0</v>
      </c>
      <c r="P176" s="157">
        <f t="shared" si="8"/>
        <v>0</v>
      </c>
      <c r="Q176" s="125">
        <f t="shared" si="6"/>
        <v>0</v>
      </c>
    </row>
    <row r="177" spans="7:17" ht="15.75" x14ac:dyDescent="0.25">
      <c r="G177" s="154">
        <v>171</v>
      </c>
      <c r="H177" s="148"/>
      <c r="I177" s="37"/>
      <c r="J177" s="37"/>
      <c r="K177" s="37"/>
      <c r="L177" s="37"/>
      <c r="M177" s="37"/>
      <c r="N177" s="37"/>
      <c r="O177" s="129">
        <f t="shared" si="7"/>
        <v>0</v>
      </c>
      <c r="P177" s="157">
        <f t="shared" si="8"/>
        <v>0</v>
      </c>
      <c r="Q177" s="125">
        <f t="shared" si="6"/>
        <v>0</v>
      </c>
    </row>
    <row r="178" spans="7:17" ht="15.75" x14ac:dyDescent="0.25">
      <c r="G178" s="154">
        <v>172</v>
      </c>
      <c r="H178" s="148"/>
      <c r="I178" s="37"/>
      <c r="J178" s="37"/>
      <c r="K178" s="37"/>
      <c r="L178" s="37"/>
      <c r="M178" s="37"/>
      <c r="N178" s="37"/>
      <c r="O178" s="129">
        <f t="shared" si="7"/>
        <v>0</v>
      </c>
      <c r="P178" s="157">
        <f t="shared" si="8"/>
        <v>0</v>
      </c>
      <c r="Q178" s="125">
        <f t="shared" si="6"/>
        <v>0</v>
      </c>
    </row>
    <row r="179" spans="7:17" ht="15.75" x14ac:dyDescent="0.25">
      <c r="G179" s="154">
        <v>173</v>
      </c>
      <c r="H179" s="148"/>
      <c r="I179" s="37"/>
      <c r="J179" s="37"/>
      <c r="K179" s="37"/>
      <c r="L179" s="37"/>
      <c r="M179" s="37"/>
      <c r="N179" s="37"/>
      <c r="O179" s="129">
        <f t="shared" si="7"/>
        <v>0</v>
      </c>
      <c r="P179" s="157">
        <f t="shared" si="8"/>
        <v>0</v>
      </c>
      <c r="Q179" s="125">
        <f t="shared" si="6"/>
        <v>0</v>
      </c>
    </row>
    <row r="180" spans="7:17" ht="15.75" x14ac:dyDescent="0.25">
      <c r="G180" s="154">
        <v>174</v>
      </c>
      <c r="H180" s="148"/>
      <c r="I180" s="37"/>
      <c r="J180" s="37"/>
      <c r="K180" s="37"/>
      <c r="L180" s="37"/>
      <c r="M180" s="37"/>
      <c r="N180" s="37"/>
      <c r="O180" s="129">
        <f t="shared" si="7"/>
        <v>0</v>
      </c>
      <c r="P180" s="157">
        <f t="shared" si="8"/>
        <v>0</v>
      </c>
      <c r="Q180" s="125">
        <f t="shared" si="6"/>
        <v>0</v>
      </c>
    </row>
    <row r="181" spans="7:17" ht="15.75" x14ac:dyDescent="0.25">
      <c r="G181" s="154">
        <v>175</v>
      </c>
      <c r="H181" s="148"/>
      <c r="I181" s="37"/>
      <c r="J181" s="37"/>
      <c r="K181" s="37"/>
      <c r="L181" s="37"/>
      <c r="M181" s="37"/>
      <c r="N181" s="37"/>
      <c r="O181" s="129">
        <f t="shared" si="7"/>
        <v>0</v>
      </c>
      <c r="P181" s="157">
        <f t="shared" si="8"/>
        <v>0</v>
      </c>
      <c r="Q181" s="125">
        <f t="shared" si="6"/>
        <v>0</v>
      </c>
    </row>
    <row r="182" spans="7:17" ht="15.75" x14ac:dyDescent="0.25">
      <c r="G182" s="154">
        <v>176</v>
      </c>
      <c r="H182" s="148"/>
      <c r="I182" s="37"/>
      <c r="J182" s="37"/>
      <c r="K182" s="37"/>
      <c r="L182" s="37"/>
      <c r="M182" s="37"/>
      <c r="N182" s="37"/>
      <c r="O182" s="129">
        <f t="shared" si="7"/>
        <v>0</v>
      </c>
      <c r="P182" s="157">
        <f t="shared" si="8"/>
        <v>0</v>
      </c>
      <c r="Q182" s="125">
        <f t="shared" si="6"/>
        <v>0</v>
      </c>
    </row>
    <row r="183" spans="7:17" ht="15.75" x14ac:dyDescent="0.25">
      <c r="G183" s="154">
        <v>177</v>
      </c>
      <c r="H183" s="148"/>
      <c r="I183" s="37"/>
      <c r="J183" s="37"/>
      <c r="K183" s="37"/>
      <c r="L183" s="37"/>
      <c r="M183" s="37"/>
      <c r="N183" s="37"/>
      <c r="O183" s="129">
        <f t="shared" si="7"/>
        <v>0</v>
      </c>
      <c r="P183" s="157">
        <f t="shared" si="8"/>
        <v>0</v>
      </c>
      <c r="Q183" s="125">
        <f t="shared" si="6"/>
        <v>0</v>
      </c>
    </row>
    <row r="184" spans="7:17" ht="15.75" x14ac:dyDescent="0.25">
      <c r="G184" s="154">
        <v>178</v>
      </c>
      <c r="H184" s="148"/>
      <c r="I184" s="37"/>
      <c r="J184" s="37"/>
      <c r="K184" s="37"/>
      <c r="L184" s="37"/>
      <c r="M184" s="37"/>
      <c r="N184" s="37"/>
      <c r="O184" s="129">
        <f t="shared" si="7"/>
        <v>0</v>
      </c>
      <c r="P184" s="157">
        <f t="shared" si="8"/>
        <v>0</v>
      </c>
      <c r="Q184" s="125">
        <f t="shared" si="6"/>
        <v>0</v>
      </c>
    </row>
    <row r="185" spans="7:17" ht="15.75" x14ac:dyDescent="0.25">
      <c r="G185" s="154">
        <v>179</v>
      </c>
      <c r="H185" s="148"/>
      <c r="I185" s="37"/>
      <c r="J185" s="37"/>
      <c r="K185" s="37"/>
      <c r="L185" s="37"/>
      <c r="M185" s="37"/>
      <c r="N185" s="37"/>
      <c r="O185" s="129">
        <f t="shared" si="7"/>
        <v>0</v>
      </c>
      <c r="P185" s="157">
        <f t="shared" si="8"/>
        <v>0</v>
      </c>
      <c r="Q185" s="125">
        <f t="shared" si="6"/>
        <v>0</v>
      </c>
    </row>
    <row r="186" spans="7:17" ht="15.75" x14ac:dyDescent="0.25">
      <c r="G186" s="154">
        <v>180</v>
      </c>
      <c r="H186" s="148"/>
      <c r="I186" s="37"/>
      <c r="J186" s="37"/>
      <c r="K186" s="37"/>
      <c r="L186" s="37"/>
      <c r="M186" s="37"/>
      <c r="N186" s="37"/>
      <c r="O186" s="129">
        <f t="shared" si="7"/>
        <v>0</v>
      </c>
      <c r="P186" s="157">
        <f t="shared" si="8"/>
        <v>0</v>
      </c>
      <c r="Q186" s="125">
        <f t="shared" si="6"/>
        <v>0</v>
      </c>
    </row>
    <row r="187" spans="7:17" ht="15.75" x14ac:dyDescent="0.25">
      <c r="G187" s="154">
        <v>181</v>
      </c>
      <c r="H187" s="148"/>
      <c r="I187" s="37"/>
      <c r="J187" s="37"/>
      <c r="K187" s="37"/>
      <c r="L187" s="37"/>
      <c r="M187" s="37"/>
      <c r="N187" s="37"/>
      <c r="O187" s="129">
        <f t="shared" si="7"/>
        <v>0</v>
      </c>
      <c r="P187" s="157">
        <f t="shared" si="8"/>
        <v>0</v>
      </c>
      <c r="Q187" s="125">
        <f t="shared" si="6"/>
        <v>0</v>
      </c>
    </row>
    <row r="188" spans="7:17" ht="15.75" x14ac:dyDescent="0.25">
      <c r="G188" s="154">
        <v>182</v>
      </c>
      <c r="H188" s="148"/>
      <c r="I188" s="37"/>
      <c r="J188" s="37"/>
      <c r="K188" s="37"/>
      <c r="L188" s="37"/>
      <c r="M188" s="37"/>
      <c r="N188" s="37"/>
      <c r="O188" s="129">
        <f t="shared" si="7"/>
        <v>0</v>
      </c>
      <c r="P188" s="157">
        <f t="shared" si="8"/>
        <v>0</v>
      </c>
      <c r="Q188" s="125">
        <f t="shared" si="6"/>
        <v>0</v>
      </c>
    </row>
    <row r="189" spans="7:17" ht="15.75" x14ac:dyDescent="0.25">
      <c r="G189" s="154">
        <v>183</v>
      </c>
      <c r="H189" s="148"/>
      <c r="I189" s="37"/>
      <c r="J189" s="37"/>
      <c r="K189" s="37"/>
      <c r="L189" s="37"/>
      <c r="M189" s="37"/>
      <c r="N189" s="37"/>
      <c r="O189" s="129">
        <f t="shared" si="7"/>
        <v>0</v>
      </c>
      <c r="P189" s="157">
        <f t="shared" si="8"/>
        <v>0</v>
      </c>
      <c r="Q189" s="125">
        <f t="shared" si="6"/>
        <v>0</v>
      </c>
    </row>
    <row r="190" spans="7:17" ht="15.75" x14ac:dyDescent="0.25">
      <c r="G190" s="154">
        <v>184</v>
      </c>
      <c r="H190" s="148"/>
      <c r="I190" s="37"/>
      <c r="J190" s="37"/>
      <c r="K190" s="37"/>
      <c r="L190" s="37"/>
      <c r="M190" s="37"/>
      <c r="N190" s="37"/>
      <c r="O190" s="129">
        <f t="shared" si="7"/>
        <v>0</v>
      </c>
      <c r="P190" s="157">
        <f t="shared" si="8"/>
        <v>0</v>
      </c>
      <c r="Q190" s="125">
        <f t="shared" si="6"/>
        <v>0</v>
      </c>
    </row>
    <row r="191" spans="7:17" ht="15.75" x14ac:dyDescent="0.25">
      <c r="G191" s="154">
        <v>185</v>
      </c>
      <c r="H191" s="148"/>
      <c r="I191" s="37"/>
      <c r="J191" s="37"/>
      <c r="K191" s="37"/>
      <c r="L191" s="37"/>
      <c r="M191" s="37"/>
      <c r="N191" s="37"/>
      <c r="O191" s="129">
        <f t="shared" si="7"/>
        <v>0</v>
      </c>
      <c r="P191" s="157">
        <f t="shared" si="8"/>
        <v>0</v>
      </c>
      <c r="Q191" s="125">
        <f t="shared" si="6"/>
        <v>0</v>
      </c>
    </row>
    <row r="192" spans="7:17" ht="15.75" x14ac:dyDescent="0.25">
      <c r="G192" s="154">
        <v>186</v>
      </c>
      <c r="H192" s="148"/>
      <c r="I192" s="37"/>
      <c r="J192" s="37"/>
      <c r="K192" s="37"/>
      <c r="L192" s="37"/>
      <c r="M192" s="37"/>
      <c r="N192" s="37"/>
      <c r="O192" s="129">
        <f t="shared" si="7"/>
        <v>0</v>
      </c>
      <c r="P192" s="157">
        <f t="shared" si="8"/>
        <v>0</v>
      </c>
      <c r="Q192" s="125">
        <f t="shared" si="6"/>
        <v>0</v>
      </c>
    </row>
    <row r="193" spans="7:17" ht="15.75" x14ac:dyDescent="0.25">
      <c r="G193" s="154">
        <v>187</v>
      </c>
      <c r="H193" s="148"/>
      <c r="I193" s="37"/>
      <c r="J193" s="37"/>
      <c r="K193" s="37"/>
      <c r="L193" s="37"/>
      <c r="M193" s="37"/>
      <c r="N193" s="37"/>
      <c r="O193" s="129">
        <f t="shared" si="7"/>
        <v>0</v>
      </c>
      <c r="P193" s="157">
        <f t="shared" si="8"/>
        <v>0</v>
      </c>
      <c r="Q193" s="125">
        <f t="shared" si="6"/>
        <v>0</v>
      </c>
    </row>
    <row r="194" spans="7:17" ht="15.75" x14ac:dyDescent="0.25">
      <c r="G194" s="154">
        <v>188</v>
      </c>
      <c r="H194" s="148"/>
      <c r="I194" s="37"/>
      <c r="J194" s="37"/>
      <c r="K194" s="37"/>
      <c r="L194" s="37"/>
      <c r="M194" s="37"/>
      <c r="N194" s="37"/>
      <c r="O194" s="129">
        <f t="shared" si="7"/>
        <v>0</v>
      </c>
      <c r="P194" s="157">
        <f t="shared" si="8"/>
        <v>0</v>
      </c>
      <c r="Q194" s="125">
        <f t="shared" si="6"/>
        <v>0</v>
      </c>
    </row>
    <row r="195" spans="7:17" ht="15.75" x14ac:dyDescent="0.25">
      <c r="G195" s="154">
        <v>189</v>
      </c>
      <c r="H195" s="148"/>
      <c r="I195" s="37"/>
      <c r="J195" s="37"/>
      <c r="K195" s="37"/>
      <c r="L195" s="37"/>
      <c r="M195" s="37"/>
      <c r="N195" s="37"/>
      <c r="O195" s="129">
        <f t="shared" si="7"/>
        <v>0</v>
      </c>
      <c r="P195" s="157">
        <f t="shared" si="8"/>
        <v>0</v>
      </c>
      <c r="Q195" s="125">
        <f t="shared" si="6"/>
        <v>0</v>
      </c>
    </row>
    <row r="196" spans="7:17" ht="15.75" x14ac:dyDescent="0.25">
      <c r="G196" s="154">
        <v>190</v>
      </c>
      <c r="H196" s="148"/>
      <c r="I196" s="37"/>
      <c r="J196" s="37"/>
      <c r="K196" s="37"/>
      <c r="L196" s="37"/>
      <c r="M196" s="37"/>
      <c r="N196" s="37"/>
      <c r="O196" s="129">
        <f t="shared" si="7"/>
        <v>0</v>
      </c>
      <c r="P196" s="157">
        <f t="shared" si="8"/>
        <v>0</v>
      </c>
      <c r="Q196" s="125">
        <f t="shared" si="6"/>
        <v>0</v>
      </c>
    </row>
    <row r="197" spans="7:17" ht="15.75" x14ac:dyDescent="0.25">
      <c r="G197" s="154">
        <v>191</v>
      </c>
      <c r="H197" s="148"/>
      <c r="I197" s="37"/>
      <c r="J197" s="37"/>
      <c r="K197" s="37"/>
      <c r="L197" s="37"/>
      <c r="M197" s="37"/>
      <c r="N197" s="37"/>
      <c r="O197" s="129">
        <f t="shared" si="7"/>
        <v>0</v>
      </c>
      <c r="P197" s="157">
        <f t="shared" si="8"/>
        <v>0</v>
      </c>
      <c r="Q197" s="125">
        <f t="shared" si="6"/>
        <v>0</v>
      </c>
    </row>
    <row r="198" spans="7:17" ht="15.75" x14ac:dyDescent="0.25">
      <c r="G198" s="154">
        <v>192</v>
      </c>
      <c r="H198" s="148"/>
      <c r="I198" s="37"/>
      <c r="J198" s="37"/>
      <c r="K198" s="37"/>
      <c r="L198" s="37"/>
      <c r="M198" s="37"/>
      <c r="N198" s="37"/>
      <c r="O198" s="129">
        <f t="shared" si="7"/>
        <v>0</v>
      </c>
      <c r="P198" s="157">
        <f t="shared" si="8"/>
        <v>0</v>
      </c>
      <c r="Q198" s="125">
        <f t="shared" si="6"/>
        <v>0</v>
      </c>
    </row>
    <row r="199" spans="7:17" ht="15.75" x14ac:dyDescent="0.25">
      <c r="G199" s="154">
        <v>193</v>
      </c>
      <c r="H199" s="148"/>
      <c r="I199" s="37"/>
      <c r="J199" s="37"/>
      <c r="K199" s="37"/>
      <c r="L199" s="37"/>
      <c r="M199" s="37"/>
      <c r="N199" s="37"/>
      <c r="O199" s="129">
        <f t="shared" si="7"/>
        <v>0</v>
      </c>
      <c r="P199" s="157">
        <f t="shared" si="8"/>
        <v>0</v>
      </c>
      <c r="Q199" s="125">
        <f t="shared" ref="Q199:Q262" si="9" xml:space="preserve"> IFERROR(   ( (  IF($H199 = "N/A",  0, $H199) + IF($I199 = "N/A",  0, $I199) + IF($J199 = "N/A",  0, $J199) + IF($K199 = "N/A",  0, $K199) + IF($L199 = "N/A",  0, $L199) + IF($M199 = "N/A",  0, $M199)  )*100 / (  IF($H199 = "N/A",  0, C_1_Weight) + IF($I199 = "N/A",  0, C_2_Weight) + IF($J199 = "N/A",  0, C_3_Weight) + IF($K199 = "N/A",  0, C_4_Weight) + IF($L199 = "N/A",  0, C_5_Weight) + IF($M199 = "N/A",  0, C_6_Weight)  ) +$O199 ), "Not Yet Rated")</f>
        <v>0</v>
      </c>
    </row>
    <row r="200" spans="7:17" ht="15.75" x14ac:dyDescent="0.25">
      <c r="G200" s="154">
        <v>194</v>
      </c>
      <c r="H200" s="148"/>
      <c r="I200" s="37"/>
      <c r="J200" s="37"/>
      <c r="K200" s="37"/>
      <c r="L200" s="37"/>
      <c r="M200" s="37"/>
      <c r="N200" s="37"/>
      <c r="O200" s="129">
        <f t="shared" ref="O200:O263" si="10">IF( COUNTIF($N200:$N200,"Fail") &gt; 0, -0.2, 0 )</f>
        <v>0</v>
      </c>
      <c r="P200" s="157">
        <f t="shared" ref="P200:P263" si="11">IFERROR( IF(   ($Q200) &lt; 0, 0,   ($Q200)   ), "Not Yet Rated")*5</f>
        <v>0</v>
      </c>
      <c r="Q200" s="125">
        <f t="shared" si="9"/>
        <v>0</v>
      </c>
    </row>
    <row r="201" spans="7:17" ht="15.75" x14ac:dyDescent="0.25">
      <c r="G201" s="154">
        <v>195</v>
      </c>
      <c r="H201" s="148"/>
      <c r="I201" s="37"/>
      <c r="J201" s="37"/>
      <c r="K201" s="37"/>
      <c r="L201" s="37"/>
      <c r="M201" s="37"/>
      <c r="N201" s="37"/>
      <c r="O201" s="129">
        <f t="shared" si="10"/>
        <v>0</v>
      </c>
      <c r="P201" s="157">
        <f t="shared" si="11"/>
        <v>0</v>
      </c>
      <c r="Q201" s="125">
        <f t="shared" si="9"/>
        <v>0</v>
      </c>
    </row>
    <row r="202" spans="7:17" ht="15.75" x14ac:dyDescent="0.25">
      <c r="G202" s="154">
        <v>196</v>
      </c>
      <c r="H202" s="148"/>
      <c r="I202" s="37"/>
      <c r="J202" s="37"/>
      <c r="K202" s="37"/>
      <c r="L202" s="37"/>
      <c r="M202" s="37"/>
      <c r="N202" s="37"/>
      <c r="O202" s="129">
        <f t="shared" si="10"/>
        <v>0</v>
      </c>
      <c r="P202" s="157">
        <f t="shared" si="11"/>
        <v>0</v>
      </c>
      <c r="Q202" s="125">
        <f t="shared" si="9"/>
        <v>0</v>
      </c>
    </row>
    <row r="203" spans="7:17" ht="15.75" x14ac:dyDescent="0.25">
      <c r="G203" s="154">
        <v>197</v>
      </c>
      <c r="H203" s="148"/>
      <c r="I203" s="37"/>
      <c r="J203" s="37"/>
      <c r="K203" s="37"/>
      <c r="L203" s="37"/>
      <c r="M203" s="37"/>
      <c r="N203" s="37"/>
      <c r="O203" s="129">
        <f t="shared" si="10"/>
        <v>0</v>
      </c>
      <c r="P203" s="157">
        <f t="shared" si="11"/>
        <v>0</v>
      </c>
      <c r="Q203" s="125">
        <f t="shared" si="9"/>
        <v>0</v>
      </c>
    </row>
    <row r="204" spans="7:17" ht="15.75" x14ac:dyDescent="0.25">
      <c r="G204" s="154">
        <v>198</v>
      </c>
      <c r="H204" s="148"/>
      <c r="I204" s="37"/>
      <c r="J204" s="37"/>
      <c r="K204" s="37"/>
      <c r="L204" s="37"/>
      <c r="M204" s="37"/>
      <c r="N204" s="37"/>
      <c r="O204" s="129">
        <f t="shared" si="10"/>
        <v>0</v>
      </c>
      <c r="P204" s="157">
        <f t="shared" si="11"/>
        <v>0</v>
      </c>
      <c r="Q204" s="125">
        <f t="shared" si="9"/>
        <v>0</v>
      </c>
    </row>
    <row r="205" spans="7:17" ht="15.75" x14ac:dyDescent="0.25">
      <c r="G205" s="154">
        <v>199</v>
      </c>
      <c r="H205" s="148"/>
      <c r="I205" s="37"/>
      <c r="J205" s="37"/>
      <c r="K205" s="37"/>
      <c r="L205" s="37"/>
      <c r="M205" s="37"/>
      <c r="N205" s="37"/>
      <c r="O205" s="129">
        <f t="shared" si="10"/>
        <v>0</v>
      </c>
      <c r="P205" s="157">
        <f t="shared" si="11"/>
        <v>0</v>
      </c>
      <c r="Q205" s="125">
        <f t="shared" si="9"/>
        <v>0</v>
      </c>
    </row>
    <row r="206" spans="7:17" ht="15.75" x14ac:dyDescent="0.25">
      <c r="G206" s="154">
        <v>200</v>
      </c>
      <c r="H206" s="148"/>
      <c r="I206" s="37"/>
      <c r="J206" s="37"/>
      <c r="K206" s="37"/>
      <c r="L206" s="37"/>
      <c r="M206" s="37"/>
      <c r="N206" s="37"/>
      <c r="O206" s="129">
        <f t="shared" si="10"/>
        <v>0</v>
      </c>
      <c r="P206" s="157">
        <f t="shared" si="11"/>
        <v>0</v>
      </c>
      <c r="Q206" s="125">
        <f t="shared" si="9"/>
        <v>0</v>
      </c>
    </row>
    <row r="207" spans="7:17" ht="15.75" x14ac:dyDescent="0.25">
      <c r="G207" s="154">
        <v>201</v>
      </c>
      <c r="H207" s="148"/>
      <c r="I207" s="37"/>
      <c r="J207" s="37"/>
      <c r="K207" s="37"/>
      <c r="L207" s="37"/>
      <c r="M207" s="37"/>
      <c r="N207" s="37"/>
      <c r="O207" s="129">
        <f t="shared" si="10"/>
        <v>0</v>
      </c>
      <c r="P207" s="157">
        <f t="shared" si="11"/>
        <v>0</v>
      </c>
      <c r="Q207" s="125">
        <f t="shared" si="9"/>
        <v>0</v>
      </c>
    </row>
    <row r="208" spans="7:17" ht="15.75" x14ac:dyDescent="0.25">
      <c r="G208" s="154">
        <v>202</v>
      </c>
      <c r="H208" s="148"/>
      <c r="I208" s="37"/>
      <c r="J208" s="37"/>
      <c r="K208" s="37"/>
      <c r="L208" s="37"/>
      <c r="M208" s="37"/>
      <c r="N208" s="37"/>
      <c r="O208" s="129">
        <f t="shared" si="10"/>
        <v>0</v>
      </c>
      <c r="P208" s="157">
        <f t="shared" si="11"/>
        <v>0</v>
      </c>
      <c r="Q208" s="125">
        <f t="shared" si="9"/>
        <v>0</v>
      </c>
    </row>
    <row r="209" spans="7:17" ht="15.75" x14ac:dyDescent="0.25">
      <c r="G209" s="154">
        <v>203</v>
      </c>
      <c r="H209" s="148"/>
      <c r="I209" s="37"/>
      <c r="J209" s="37"/>
      <c r="K209" s="37"/>
      <c r="L209" s="37"/>
      <c r="M209" s="37"/>
      <c r="N209" s="37"/>
      <c r="O209" s="129">
        <f t="shared" si="10"/>
        <v>0</v>
      </c>
      <c r="P209" s="157">
        <f t="shared" si="11"/>
        <v>0</v>
      </c>
      <c r="Q209" s="125">
        <f t="shared" si="9"/>
        <v>0</v>
      </c>
    </row>
    <row r="210" spans="7:17" ht="15.75" x14ac:dyDescent="0.25">
      <c r="G210" s="154">
        <v>204</v>
      </c>
      <c r="H210" s="148"/>
      <c r="I210" s="37"/>
      <c r="J210" s="37"/>
      <c r="K210" s="37"/>
      <c r="L210" s="37"/>
      <c r="M210" s="37"/>
      <c r="N210" s="37"/>
      <c r="O210" s="129">
        <f t="shared" si="10"/>
        <v>0</v>
      </c>
      <c r="P210" s="157">
        <f t="shared" si="11"/>
        <v>0</v>
      </c>
      <c r="Q210" s="125">
        <f t="shared" si="9"/>
        <v>0</v>
      </c>
    </row>
    <row r="211" spans="7:17" ht="15.75" x14ac:dyDescent="0.25">
      <c r="G211" s="154">
        <v>205</v>
      </c>
      <c r="H211" s="148"/>
      <c r="I211" s="37"/>
      <c r="J211" s="37"/>
      <c r="K211" s="37"/>
      <c r="L211" s="37"/>
      <c r="M211" s="37"/>
      <c r="N211" s="37"/>
      <c r="O211" s="129">
        <f t="shared" si="10"/>
        <v>0</v>
      </c>
      <c r="P211" s="157">
        <f t="shared" si="11"/>
        <v>0</v>
      </c>
      <c r="Q211" s="125">
        <f t="shared" si="9"/>
        <v>0</v>
      </c>
    </row>
    <row r="212" spans="7:17" ht="15.75" x14ac:dyDescent="0.25">
      <c r="G212" s="154">
        <v>206</v>
      </c>
      <c r="H212" s="148"/>
      <c r="I212" s="37"/>
      <c r="J212" s="37"/>
      <c r="K212" s="37"/>
      <c r="L212" s="37"/>
      <c r="M212" s="37"/>
      <c r="N212" s="37"/>
      <c r="O212" s="129">
        <f t="shared" si="10"/>
        <v>0</v>
      </c>
      <c r="P212" s="157">
        <f t="shared" si="11"/>
        <v>0</v>
      </c>
      <c r="Q212" s="125">
        <f t="shared" si="9"/>
        <v>0</v>
      </c>
    </row>
    <row r="213" spans="7:17" ht="15.75" x14ac:dyDescent="0.25">
      <c r="G213" s="154">
        <v>207</v>
      </c>
      <c r="H213" s="148"/>
      <c r="I213" s="37"/>
      <c r="J213" s="37"/>
      <c r="K213" s="37"/>
      <c r="L213" s="37"/>
      <c r="M213" s="37"/>
      <c r="N213" s="37"/>
      <c r="O213" s="129">
        <f t="shared" si="10"/>
        <v>0</v>
      </c>
      <c r="P213" s="157">
        <f t="shared" si="11"/>
        <v>0</v>
      </c>
      <c r="Q213" s="125">
        <f t="shared" si="9"/>
        <v>0</v>
      </c>
    </row>
    <row r="214" spans="7:17" ht="15.75" x14ac:dyDescent="0.25">
      <c r="G214" s="154">
        <v>208</v>
      </c>
      <c r="H214" s="148"/>
      <c r="I214" s="37"/>
      <c r="J214" s="37"/>
      <c r="K214" s="37"/>
      <c r="L214" s="37"/>
      <c r="M214" s="37"/>
      <c r="N214" s="37"/>
      <c r="O214" s="129">
        <f t="shared" si="10"/>
        <v>0</v>
      </c>
      <c r="P214" s="157">
        <f t="shared" si="11"/>
        <v>0</v>
      </c>
      <c r="Q214" s="125">
        <f t="shared" si="9"/>
        <v>0</v>
      </c>
    </row>
    <row r="215" spans="7:17" ht="15.75" x14ac:dyDescent="0.25">
      <c r="G215" s="154">
        <v>209</v>
      </c>
      <c r="H215" s="148"/>
      <c r="I215" s="37"/>
      <c r="J215" s="37"/>
      <c r="K215" s="37"/>
      <c r="L215" s="37"/>
      <c r="M215" s="37"/>
      <c r="N215" s="37"/>
      <c r="O215" s="129">
        <f t="shared" si="10"/>
        <v>0</v>
      </c>
      <c r="P215" s="157">
        <f t="shared" si="11"/>
        <v>0</v>
      </c>
      <c r="Q215" s="125">
        <f t="shared" si="9"/>
        <v>0</v>
      </c>
    </row>
    <row r="216" spans="7:17" ht="15.75" x14ac:dyDescent="0.25">
      <c r="G216" s="154">
        <v>210</v>
      </c>
      <c r="H216" s="148"/>
      <c r="I216" s="37"/>
      <c r="J216" s="37"/>
      <c r="K216" s="37"/>
      <c r="L216" s="37"/>
      <c r="M216" s="37"/>
      <c r="N216" s="37"/>
      <c r="O216" s="129">
        <f t="shared" si="10"/>
        <v>0</v>
      </c>
      <c r="P216" s="157">
        <f t="shared" si="11"/>
        <v>0</v>
      </c>
      <c r="Q216" s="125">
        <f t="shared" si="9"/>
        <v>0</v>
      </c>
    </row>
    <row r="217" spans="7:17" ht="15.75" x14ac:dyDescent="0.25">
      <c r="G217" s="154">
        <v>211</v>
      </c>
      <c r="H217" s="148"/>
      <c r="I217" s="37"/>
      <c r="J217" s="37"/>
      <c r="K217" s="37"/>
      <c r="L217" s="37"/>
      <c r="M217" s="37"/>
      <c r="N217" s="37"/>
      <c r="O217" s="129">
        <f t="shared" si="10"/>
        <v>0</v>
      </c>
      <c r="P217" s="157">
        <f t="shared" si="11"/>
        <v>0</v>
      </c>
      <c r="Q217" s="125">
        <f t="shared" si="9"/>
        <v>0</v>
      </c>
    </row>
    <row r="218" spans="7:17" ht="15.75" x14ac:dyDescent="0.25">
      <c r="G218" s="154">
        <v>212</v>
      </c>
      <c r="H218" s="148"/>
      <c r="I218" s="37"/>
      <c r="J218" s="37"/>
      <c r="K218" s="37"/>
      <c r="L218" s="37"/>
      <c r="M218" s="37"/>
      <c r="N218" s="37"/>
      <c r="O218" s="129">
        <f t="shared" si="10"/>
        <v>0</v>
      </c>
      <c r="P218" s="157">
        <f t="shared" si="11"/>
        <v>0</v>
      </c>
      <c r="Q218" s="125">
        <f t="shared" si="9"/>
        <v>0</v>
      </c>
    </row>
    <row r="219" spans="7:17" ht="15.75" x14ac:dyDescent="0.25">
      <c r="G219" s="154">
        <v>213</v>
      </c>
      <c r="H219" s="148"/>
      <c r="I219" s="37"/>
      <c r="J219" s="37"/>
      <c r="K219" s="37"/>
      <c r="L219" s="37"/>
      <c r="M219" s="37"/>
      <c r="N219" s="37"/>
      <c r="O219" s="129">
        <f t="shared" si="10"/>
        <v>0</v>
      </c>
      <c r="P219" s="157">
        <f t="shared" si="11"/>
        <v>0</v>
      </c>
      <c r="Q219" s="125">
        <f t="shared" si="9"/>
        <v>0</v>
      </c>
    </row>
    <row r="220" spans="7:17" ht="15.75" x14ac:dyDescent="0.25">
      <c r="G220" s="154">
        <v>214</v>
      </c>
      <c r="H220" s="148"/>
      <c r="I220" s="37"/>
      <c r="J220" s="37"/>
      <c r="K220" s="37"/>
      <c r="L220" s="37"/>
      <c r="M220" s="37"/>
      <c r="N220" s="37"/>
      <c r="O220" s="129">
        <f t="shared" si="10"/>
        <v>0</v>
      </c>
      <c r="P220" s="157">
        <f t="shared" si="11"/>
        <v>0</v>
      </c>
      <c r="Q220" s="125">
        <f t="shared" si="9"/>
        <v>0</v>
      </c>
    </row>
    <row r="221" spans="7:17" ht="15.75" x14ac:dyDescent="0.25">
      <c r="G221" s="154">
        <v>215</v>
      </c>
      <c r="H221" s="148"/>
      <c r="I221" s="37"/>
      <c r="J221" s="37"/>
      <c r="K221" s="37"/>
      <c r="L221" s="37"/>
      <c r="M221" s="37"/>
      <c r="N221" s="37"/>
      <c r="O221" s="129">
        <f t="shared" si="10"/>
        <v>0</v>
      </c>
      <c r="P221" s="157">
        <f t="shared" si="11"/>
        <v>0</v>
      </c>
      <c r="Q221" s="125">
        <f t="shared" si="9"/>
        <v>0</v>
      </c>
    </row>
    <row r="222" spans="7:17" ht="15.75" x14ac:dyDescent="0.25">
      <c r="G222" s="154">
        <v>216</v>
      </c>
      <c r="H222" s="148"/>
      <c r="I222" s="37"/>
      <c r="J222" s="37"/>
      <c r="K222" s="37"/>
      <c r="L222" s="37"/>
      <c r="M222" s="37"/>
      <c r="N222" s="37"/>
      <c r="O222" s="129">
        <f t="shared" si="10"/>
        <v>0</v>
      </c>
      <c r="P222" s="157">
        <f t="shared" si="11"/>
        <v>0</v>
      </c>
      <c r="Q222" s="125">
        <f t="shared" si="9"/>
        <v>0</v>
      </c>
    </row>
    <row r="223" spans="7:17" ht="15.75" x14ac:dyDescent="0.25">
      <c r="G223" s="154">
        <v>217</v>
      </c>
      <c r="H223" s="148"/>
      <c r="I223" s="37"/>
      <c r="J223" s="37"/>
      <c r="K223" s="37"/>
      <c r="L223" s="37"/>
      <c r="M223" s="37"/>
      <c r="N223" s="37"/>
      <c r="O223" s="129">
        <f t="shared" si="10"/>
        <v>0</v>
      </c>
      <c r="P223" s="157">
        <f t="shared" si="11"/>
        <v>0</v>
      </c>
      <c r="Q223" s="125">
        <f t="shared" si="9"/>
        <v>0</v>
      </c>
    </row>
    <row r="224" spans="7:17" ht="15.75" x14ac:dyDescent="0.25">
      <c r="G224" s="154">
        <v>218</v>
      </c>
      <c r="H224" s="148"/>
      <c r="I224" s="37"/>
      <c r="J224" s="37"/>
      <c r="K224" s="37"/>
      <c r="L224" s="37"/>
      <c r="M224" s="37"/>
      <c r="N224" s="37"/>
      <c r="O224" s="129">
        <f t="shared" si="10"/>
        <v>0</v>
      </c>
      <c r="P224" s="157">
        <f t="shared" si="11"/>
        <v>0</v>
      </c>
      <c r="Q224" s="125">
        <f t="shared" si="9"/>
        <v>0</v>
      </c>
    </row>
    <row r="225" spans="7:17" ht="15.75" x14ac:dyDescent="0.25">
      <c r="G225" s="154">
        <v>219</v>
      </c>
      <c r="H225" s="148"/>
      <c r="I225" s="37"/>
      <c r="J225" s="37"/>
      <c r="K225" s="37"/>
      <c r="L225" s="37"/>
      <c r="M225" s="37"/>
      <c r="N225" s="37"/>
      <c r="O225" s="129">
        <f t="shared" si="10"/>
        <v>0</v>
      </c>
      <c r="P225" s="157">
        <f t="shared" si="11"/>
        <v>0</v>
      </c>
      <c r="Q225" s="125">
        <f t="shared" si="9"/>
        <v>0</v>
      </c>
    </row>
    <row r="226" spans="7:17" ht="15.75" x14ac:dyDescent="0.25">
      <c r="G226" s="154">
        <v>220</v>
      </c>
      <c r="H226" s="148"/>
      <c r="I226" s="37"/>
      <c r="J226" s="37"/>
      <c r="K226" s="37"/>
      <c r="L226" s="37"/>
      <c r="M226" s="37"/>
      <c r="N226" s="37"/>
      <c r="O226" s="129">
        <f t="shared" si="10"/>
        <v>0</v>
      </c>
      <c r="P226" s="157">
        <f t="shared" si="11"/>
        <v>0</v>
      </c>
      <c r="Q226" s="125">
        <f t="shared" si="9"/>
        <v>0</v>
      </c>
    </row>
    <row r="227" spans="7:17" ht="15.75" x14ac:dyDescent="0.25">
      <c r="G227" s="154">
        <v>221</v>
      </c>
      <c r="H227" s="148"/>
      <c r="I227" s="37"/>
      <c r="J227" s="37"/>
      <c r="K227" s="37"/>
      <c r="L227" s="37"/>
      <c r="M227" s="37"/>
      <c r="N227" s="37"/>
      <c r="O227" s="129">
        <f t="shared" si="10"/>
        <v>0</v>
      </c>
      <c r="P227" s="157">
        <f t="shared" si="11"/>
        <v>0</v>
      </c>
      <c r="Q227" s="125">
        <f t="shared" si="9"/>
        <v>0</v>
      </c>
    </row>
    <row r="228" spans="7:17" ht="15.75" x14ac:dyDescent="0.25">
      <c r="G228" s="154">
        <v>222</v>
      </c>
      <c r="H228" s="148"/>
      <c r="I228" s="37"/>
      <c r="J228" s="37"/>
      <c r="K228" s="37"/>
      <c r="L228" s="37"/>
      <c r="M228" s="37"/>
      <c r="N228" s="37"/>
      <c r="O228" s="129">
        <f t="shared" si="10"/>
        <v>0</v>
      </c>
      <c r="P228" s="157">
        <f t="shared" si="11"/>
        <v>0</v>
      </c>
      <c r="Q228" s="125">
        <f t="shared" si="9"/>
        <v>0</v>
      </c>
    </row>
    <row r="229" spans="7:17" ht="15.75" x14ac:dyDescent="0.25">
      <c r="G229" s="154">
        <v>223</v>
      </c>
      <c r="H229" s="148"/>
      <c r="I229" s="37"/>
      <c r="J229" s="37"/>
      <c r="K229" s="37"/>
      <c r="L229" s="37"/>
      <c r="M229" s="37"/>
      <c r="N229" s="37"/>
      <c r="O229" s="129">
        <f t="shared" si="10"/>
        <v>0</v>
      </c>
      <c r="P229" s="157">
        <f t="shared" si="11"/>
        <v>0</v>
      </c>
      <c r="Q229" s="125">
        <f t="shared" si="9"/>
        <v>0</v>
      </c>
    </row>
    <row r="230" spans="7:17" ht="15.75" x14ac:dyDescent="0.25">
      <c r="G230" s="154">
        <v>224</v>
      </c>
      <c r="H230" s="148"/>
      <c r="I230" s="37"/>
      <c r="J230" s="37"/>
      <c r="K230" s="37"/>
      <c r="L230" s="37"/>
      <c r="M230" s="37"/>
      <c r="N230" s="37"/>
      <c r="O230" s="129">
        <f t="shared" si="10"/>
        <v>0</v>
      </c>
      <c r="P230" s="157">
        <f t="shared" si="11"/>
        <v>0</v>
      </c>
      <c r="Q230" s="125">
        <f t="shared" si="9"/>
        <v>0</v>
      </c>
    </row>
    <row r="231" spans="7:17" ht="15.75" x14ac:dyDescent="0.25">
      <c r="G231" s="154">
        <v>225</v>
      </c>
      <c r="H231" s="148"/>
      <c r="I231" s="37"/>
      <c r="J231" s="37"/>
      <c r="K231" s="37"/>
      <c r="L231" s="37"/>
      <c r="M231" s="37"/>
      <c r="N231" s="37"/>
      <c r="O231" s="129">
        <f t="shared" si="10"/>
        <v>0</v>
      </c>
      <c r="P231" s="157">
        <f t="shared" si="11"/>
        <v>0</v>
      </c>
      <c r="Q231" s="125">
        <f t="shared" si="9"/>
        <v>0</v>
      </c>
    </row>
    <row r="232" spans="7:17" ht="15.75" x14ac:dyDescent="0.25">
      <c r="G232" s="154">
        <v>226</v>
      </c>
      <c r="H232" s="148"/>
      <c r="I232" s="37"/>
      <c r="J232" s="37"/>
      <c r="K232" s="37"/>
      <c r="L232" s="37"/>
      <c r="M232" s="37"/>
      <c r="N232" s="37"/>
      <c r="O232" s="129">
        <f t="shared" si="10"/>
        <v>0</v>
      </c>
      <c r="P232" s="157">
        <f t="shared" si="11"/>
        <v>0</v>
      </c>
      <c r="Q232" s="125">
        <f t="shared" si="9"/>
        <v>0</v>
      </c>
    </row>
    <row r="233" spans="7:17" ht="15.75" x14ac:dyDescent="0.25">
      <c r="G233" s="154">
        <v>227</v>
      </c>
      <c r="H233" s="148"/>
      <c r="I233" s="37"/>
      <c r="J233" s="37"/>
      <c r="K233" s="37"/>
      <c r="L233" s="37"/>
      <c r="M233" s="37"/>
      <c r="N233" s="37"/>
      <c r="O233" s="129">
        <f t="shared" si="10"/>
        <v>0</v>
      </c>
      <c r="P233" s="157">
        <f t="shared" si="11"/>
        <v>0</v>
      </c>
      <c r="Q233" s="125">
        <f t="shared" si="9"/>
        <v>0</v>
      </c>
    </row>
    <row r="234" spans="7:17" ht="15.75" x14ac:dyDescent="0.25">
      <c r="G234" s="154">
        <v>228</v>
      </c>
      <c r="H234" s="148"/>
      <c r="I234" s="37"/>
      <c r="J234" s="37"/>
      <c r="K234" s="37"/>
      <c r="L234" s="37"/>
      <c r="M234" s="37"/>
      <c r="N234" s="37"/>
      <c r="O234" s="129">
        <f t="shared" si="10"/>
        <v>0</v>
      </c>
      <c r="P234" s="157">
        <f t="shared" si="11"/>
        <v>0</v>
      </c>
      <c r="Q234" s="125">
        <f t="shared" si="9"/>
        <v>0</v>
      </c>
    </row>
    <row r="235" spans="7:17" ht="15.75" x14ac:dyDescent="0.25">
      <c r="G235" s="154">
        <v>229</v>
      </c>
      <c r="H235" s="148"/>
      <c r="I235" s="37"/>
      <c r="J235" s="37"/>
      <c r="K235" s="37"/>
      <c r="L235" s="37"/>
      <c r="M235" s="37"/>
      <c r="N235" s="37"/>
      <c r="O235" s="129">
        <f t="shared" si="10"/>
        <v>0</v>
      </c>
      <c r="P235" s="157">
        <f t="shared" si="11"/>
        <v>0</v>
      </c>
      <c r="Q235" s="125">
        <f t="shared" si="9"/>
        <v>0</v>
      </c>
    </row>
    <row r="236" spans="7:17" ht="15.75" x14ac:dyDescent="0.25">
      <c r="G236" s="154">
        <v>230</v>
      </c>
      <c r="H236" s="148"/>
      <c r="I236" s="37"/>
      <c r="J236" s="37"/>
      <c r="K236" s="37"/>
      <c r="L236" s="37"/>
      <c r="M236" s="37"/>
      <c r="N236" s="37"/>
      <c r="O236" s="129">
        <f t="shared" si="10"/>
        <v>0</v>
      </c>
      <c r="P236" s="157">
        <f t="shared" si="11"/>
        <v>0</v>
      </c>
      <c r="Q236" s="125">
        <f t="shared" si="9"/>
        <v>0</v>
      </c>
    </row>
    <row r="237" spans="7:17" ht="15.75" x14ac:dyDescent="0.25">
      <c r="G237" s="154">
        <v>231</v>
      </c>
      <c r="H237" s="148"/>
      <c r="I237" s="37"/>
      <c r="J237" s="37"/>
      <c r="K237" s="37"/>
      <c r="L237" s="37"/>
      <c r="M237" s="37"/>
      <c r="N237" s="37"/>
      <c r="O237" s="129">
        <f t="shared" si="10"/>
        <v>0</v>
      </c>
      <c r="P237" s="157">
        <f t="shared" si="11"/>
        <v>0</v>
      </c>
      <c r="Q237" s="125">
        <f t="shared" si="9"/>
        <v>0</v>
      </c>
    </row>
    <row r="238" spans="7:17" ht="15.75" x14ac:dyDescent="0.25">
      <c r="G238" s="154">
        <v>232</v>
      </c>
      <c r="H238" s="148"/>
      <c r="I238" s="37"/>
      <c r="J238" s="37"/>
      <c r="K238" s="37"/>
      <c r="L238" s="37"/>
      <c r="M238" s="37"/>
      <c r="N238" s="37"/>
      <c r="O238" s="129">
        <f t="shared" si="10"/>
        <v>0</v>
      </c>
      <c r="P238" s="157">
        <f t="shared" si="11"/>
        <v>0</v>
      </c>
      <c r="Q238" s="125">
        <f t="shared" si="9"/>
        <v>0</v>
      </c>
    </row>
    <row r="239" spans="7:17" ht="15.75" x14ac:dyDescent="0.25">
      <c r="G239" s="154">
        <v>233</v>
      </c>
      <c r="H239" s="148"/>
      <c r="I239" s="37"/>
      <c r="J239" s="37"/>
      <c r="K239" s="37"/>
      <c r="L239" s="37"/>
      <c r="M239" s="37"/>
      <c r="N239" s="37"/>
      <c r="O239" s="129">
        <f t="shared" si="10"/>
        <v>0</v>
      </c>
      <c r="P239" s="157">
        <f t="shared" si="11"/>
        <v>0</v>
      </c>
      <c r="Q239" s="125">
        <f t="shared" si="9"/>
        <v>0</v>
      </c>
    </row>
    <row r="240" spans="7:17" ht="15.75" x14ac:dyDescent="0.25">
      <c r="G240" s="154">
        <v>234</v>
      </c>
      <c r="H240" s="148"/>
      <c r="I240" s="37"/>
      <c r="J240" s="37"/>
      <c r="K240" s="37"/>
      <c r="L240" s="37"/>
      <c r="M240" s="37"/>
      <c r="N240" s="37"/>
      <c r="O240" s="129">
        <f t="shared" si="10"/>
        <v>0</v>
      </c>
      <c r="P240" s="157">
        <f t="shared" si="11"/>
        <v>0</v>
      </c>
      <c r="Q240" s="125">
        <f t="shared" si="9"/>
        <v>0</v>
      </c>
    </row>
    <row r="241" spans="7:17" ht="15.75" x14ac:dyDescent="0.25">
      <c r="G241" s="154">
        <v>235</v>
      </c>
      <c r="H241" s="148"/>
      <c r="I241" s="37"/>
      <c r="J241" s="37"/>
      <c r="K241" s="37"/>
      <c r="L241" s="37"/>
      <c r="M241" s="37"/>
      <c r="N241" s="37"/>
      <c r="O241" s="129">
        <f t="shared" si="10"/>
        <v>0</v>
      </c>
      <c r="P241" s="157">
        <f t="shared" si="11"/>
        <v>0</v>
      </c>
      <c r="Q241" s="125">
        <f t="shared" si="9"/>
        <v>0</v>
      </c>
    </row>
    <row r="242" spans="7:17" ht="15.75" x14ac:dyDescent="0.25">
      <c r="G242" s="154">
        <v>236</v>
      </c>
      <c r="H242" s="148"/>
      <c r="I242" s="37"/>
      <c r="J242" s="37"/>
      <c r="K242" s="37"/>
      <c r="L242" s="37"/>
      <c r="M242" s="37"/>
      <c r="N242" s="37"/>
      <c r="O242" s="129">
        <f t="shared" si="10"/>
        <v>0</v>
      </c>
      <c r="P242" s="157">
        <f t="shared" si="11"/>
        <v>0</v>
      </c>
      <c r="Q242" s="125">
        <f t="shared" si="9"/>
        <v>0</v>
      </c>
    </row>
    <row r="243" spans="7:17" ht="15.75" x14ac:dyDescent="0.25">
      <c r="G243" s="154">
        <v>237</v>
      </c>
      <c r="H243" s="148"/>
      <c r="I243" s="37"/>
      <c r="J243" s="37"/>
      <c r="K243" s="37"/>
      <c r="L243" s="37"/>
      <c r="M243" s="37"/>
      <c r="N243" s="37"/>
      <c r="O243" s="129">
        <f t="shared" si="10"/>
        <v>0</v>
      </c>
      <c r="P243" s="157">
        <f t="shared" si="11"/>
        <v>0</v>
      </c>
      <c r="Q243" s="125">
        <f t="shared" si="9"/>
        <v>0</v>
      </c>
    </row>
    <row r="244" spans="7:17" ht="15.75" x14ac:dyDescent="0.25">
      <c r="G244" s="154">
        <v>238</v>
      </c>
      <c r="H244" s="148"/>
      <c r="I244" s="37"/>
      <c r="J244" s="37"/>
      <c r="K244" s="37"/>
      <c r="L244" s="37"/>
      <c r="M244" s="37"/>
      <c r="N244" s="37"/>
      <c r="O244" s="129">
        <f t="shared" si="10"/>
        <v>0</v>
      </c>
      <c r="P244" s="157">
        <f t="shared" si="11"/>
        <v>0</v>
      </c>
      <c r="Q244" s="125">
        <f t="shared" si="9"/>
        <v>0</v>
      </c>
    </row>
    <row r="245" spans="7:17" ht="15.75" x14ac:dyDescent="0.25">
      <c r="G245" s="154">
        <v>239</v>
      </c>
      <c r="H245" s="148"/>
      <c r="I245" s="37"/>
      <c r="J245" s="37"/>
      <c r="K245" s="37"/>
      <c r="L245" s="37"/>
      <c r="M245" s="37"/>
      <c r="N245" s="37"/>
      <c r="O245" s="129">
        <f t="shared" si="10"/>
        <v>0</v>
      </c>
      <c r="P245" s="157">
        <f t="shared" si="11"/>
        <v>0</v>
      </c>
      <c r="Q245" s="125">
        <f t="shared" si="9"/>
        <v>0</v>
      </c>
    </row>
    <row r="246" spans="7:17" ht="15.75" x14ac:dyDescent="0.25">
      <c r="G246" s="154">
        <v>240</v>
      </c>
      <c r="H246" s="148"/>
      <c r="I246" s="37"/>
      <c r="J246" s="37"/>
      <c r="K246" s="37"/>
      <c r="L246" s="37"/>
      <c r="M246" s="37"/>
      <c r="N246" s="37"/>
      <c r="O246" s="129">
        <f t="shared" si="10"/>
        <v>0</v>
      </c>
      <c r="P246" s="157">
        <f t="shared" si="11"/>
        <v>0</v>
      </c>
      <c r="Q246" s="125">
        <f t="shared" si="9"/>
        <v>0</v>
      </c>
    </row>
    <row r="247" spans="7:17" ht="15.75" x14ac:dyDescent="0.25">
      <c r="G247" s="154">
        <v>241</v>
      </c>
      <c r="H247" s="148"/>
      <c r="I247" s="37"/>
      <c r="J247" s="37"/>
      <c r="K247" s="37"/>
      <c r="L247" s="37"/>
      <c r="M247" s="37"/>
      <c r="N247" s="37"/>
      <c r="O247" s="129">
        <f t="shared" si="10"/>
        <v>0</v>
      </c>
      <c r="P247" s="157">
        <f t="shared" si="11"/>
        <v>0</v>
      </c>
      <c r="Q247" s="125">
        <f t="shared" si="9"/>
        <v>0</v>
      </c>
    </row>
    <row r="248" spans="7:17" ht="15.75" x14ac:dyDescent="0.25">
      <c r="G248" s="154">
        <v>242</v>
      </c>
      <c r="H248" s="148"/>
      <c r="I248" s="37"/>
      <c r="J248" s="37"/>
      <c r="K248" s="37"/>
      <c r="L248" s="37"/>
      <c r="M248" s="37"/>
      <c r="N248" s="37"/>
      <c r="O248" s="129">
        <f t="shared" si="10"/>
        <v>0</v>
      </c>
      <c r="P248" s="157">
        <f t="shared" si="11"/>
        <v>0</v>
      </c>
      <c r="Q248" s="125">
        <f t="shared" si="9"/>
        <v>0</v>
      </c>
    </row>
    <row r="249" spans="7:17" ht="15.75" x14ac:dyDescent="0.25">
      <c r="G249" s="154">
        <v>243</v>
      </c>
      <c r="H249" s="148"/>
      <c r="I249" s="37"/>
      <c r="J249" s="37"/>
      <c r="K249" s="37"/>
      <c r="L249" s="37"/>
      <c r="M249" s="37"/>
      <c r="N249" s="37"/>
      <c r="O249" s="129">
        <f t="shared" si="10"/>
        <v>0</v>
      </c>
      <c r="P249" s="157">
        <f t="shared" si="11"/>
        <v>0</v>
      </c>
      <c r="Q249" s="125">
        <f t="shared" si="9"/>
        <v>0</v>
      </c>
    </row>
    <row r="250" spans="7:17" ht="15.75" x14ac:dyDescent="0.25">
      <c r="G250" s="154">
        <v>244</v>
      </c>
      <c r="H250" s="148"/>
      <c r="I250" s="37"/>
      <c r="J250" s="37"/>
      <c r="K250" s="37"/>
      <c r="L250" s="37"/>
      <c r="M250" s="37"/>
      <c r="N250" s="37"/>
      <c r="O250" s="129">
        <f t="shared" si="10"/>
        <v>0</v>
      </c>
      <c r="P250" s="157">
        <f t="shared" si="11"/>
        <v>0</v>
      </c>
      <c r="Q250" s="125">
        <f t="shared" si="9"/>
        <v>0</v>
      </c>
    </row>
    <row r="251" spans="7:17" ht="15.75" x14ac:dyDescent="0.25">
      <c r="G251" s="154">
        <v>245</v>
      </c>
      <c r="H251" s="148"/>
      <c r="I251" s="37"/>
      <c r="J251" s="37"/>
      <c r="K251" s="37"/>
      <c r="L251" s="37"/>
      <c r="M251" s="37"/>
      <c r="N251" s="37"/>
      <c r="O251" s="129">
        <f t="shared" si="10"/>
        <v>0</v>
      </c>
      <c r="P251" s="157">
        <f t="shared" si="11"/>
        <v>0</v>
      </c>
      <c r="Q251" s="125">
        <f t="shared" si="9"/>
        <v>0</v>
      </c>
    </row>
    <row r="252" spans="7:17" ht="15.75" x14ac:dyDescent="0.25">
      <c r="G252" s="154">
        <v>246</v>
      </c>
      <c r="H252" s="148"/>
      <c r="I252" s="37"/>
      <c r="J252" s="37"/>
      <c r="K252" s="37"/>
      <c r="L252" s="37"/>
      <c r="M252" s="37"/>
      <c r="N252" s="37"/>
      <c r="O252" s="129">
        <f t="shared" si="10"/>
        <v>0</v>
      </c>
      <c r="P252" s="157">
        <f t="shared" si="11"/>
        <v>0</v>
      </c>
      <c r="Q252" s="125">
        <f t="shared" si="9"/>
        <v>0</v>
      </c>
    </row>
    <row r="253" spans="7:17" ht="15.75" x14ac:dyDescent="0.25">
      <c r="G253" s="154">
        <v>247</v>
      </c>
      <c r="H253" s="148"/>
      <c r="I253" s="37"/>
      <c r="J253" s="37"/>
      <c r="K253" s="37"/>
      <c r="L253" s="37"/>
      <c r="M253" s="37"/>
      <c r="N253" s="37"/>
      <c r="O253" s="129">
        <f t="shared" si="10"/>
        <v>0</v>
      </c>
      <c r="P253" s="157">
        <f t="shared" si="11"/>
        <v>0</v>
      </c>
      <c r="Q253" s="125">
        <f t="shared" si="9"/>
        <v>0</v>
      </c>
    </row>
    <row r="254" spans="7:17" ht="15.75" x14ac:dyDescent="0.25">
      <c r="G254" s="154">
        <v>248</v>
      </c>
      <c r="H254" s="148"/>
      <c r="I254" s="37"/>
      <c r="J254" s="37"/>
      <c r="K254" s="37"/>
      <c r="L254" s="37"/>
      <c r="M254" s="37"/>
      <c r="N254" s="37"/>
      <c r="O254" s="129">
        <f t="shared" si="10"/>
        <v>0</v>
      </c>
      <c r="P254" s="157">
        <f t="shared" si="11"/>
        <v>0</v>
      </c>
      <c r="Q254" s="125">
        <f t="shared" si="9"/>
        <v>0</v>
      </c>
    </row>
    <row r="255" spans="7:17" ht="15.75" x14ac:dyDescent="0.25">
      <c r="G255" s="154">
        <v>249</v>
      </c>
      <c r="H255" s="148"/>
      <c r="I255" s="37"/>
      <c r="J255" s="37"/>
      <c r="K255" s="37"/>
      <c r="L255" s="37"/>
      <c r="M255" s="37"/>
      <c r="N255" s="37"/>
      <c r="O255" s="129">
        <f t="shared" si="10"/>
        <v>0</v>
      </c>
      <c r="P255" s="157">
        <f t="shared" si="11"/>
        <v>0</v>
      </c>
      <c r="Q255" s="125">
        <f t="shared" si="9"/>
        <v>0</v>
      </c>
    </row>
    <row r="256" spans="7:17" ht="15.75" x14ac:dyDescent="0.25">
      <c r="G256" s="154">
        <v>250</v>
      </c>
      <c r="H256" s="148"/>
      <c r="I256" s="37"/>
      <c r="J256" s="37"/>
      <c r="K256" s="37"/>
      <c r="L256" s="37"/>
      <c r="M256" s="37"/>
      <c r="N256" s="37"/>
      <c r="O256" s="129">
        <f t="shared" si="10"/>
        <v>0</v>
      </c>
      <c r="P256" s="157">
        <f t="shared" si="11"/>
        <v>0</v>
      </c>
      <c r="Q256" s="125">
        <f t="shared" si="9"/>
        <v>0</v>
      </c>
    </row>
    <row r="257" spans="7:17" ht="15.75" x14ac:dyDescent="0.25">
      <c r="G257" s="154">
        <v>251</v>
      </c>
      <c r="H257" s="148"/>
      <c r="I257" s="37"/>
      <c r="J257" s="37"/>
      <c r="K257" s="37"/>
      <c r="L257" s="37"/>
      <c r="M257" s="37"/>
      <c r="N257" s="37"/>
      <c r="O257" s="129">
        <f t="shared" si="10"/>
        <v>0</v>
      </c>
      <c r="P257" s="157">
        <f t="shared" si="11"/>
        <v>0</v>
      </c>
      <c r="Q257" s="125">
        <f t="shared" si="9"/>
        <v>0</v>
      </c>
    </row>
    <row r="258" spans="7:17" ht="15.75" x14ac:dyDescent="0.25">
      <c r="G258" s="154">
        <v>252</v>
      </c>
      <c r="H258" s="148"/>
      <c r="I258" s="37"/>
      <c r="J258" s="37"/>
      <c r="K258" s="37"/>
      <c r="L258" s="37"/>
      <c r="M258" s="37"/>
      <c r="N258" s="37"/>
      <c r="O258" s="129">
        <f t="shared" si="10"/>
        <v>0</v>
      </c>
      <c r="P258" s="157">
        <f t="shared" si="11"/>
        <v>0</v>
      </c>
      <c r="Q258" s="125">
        <f t="shared" si="9"/>
        <v>0</v>
      </c>
    </row>
    <row r="259" spans="7:17" ht="15.75" x14ac:dyDescent="0.25">
      <c r="G259" s="154">
        <v>253</v>
      </c>
      <c r="H259" s="148"/>
      <c r="I259" s="37"/>
      <c r="J259" s="37"/>
      <c r="K259" s="37"/>
      <c r="L259" s="37"/>
      <c r="M259" s="37"/>
      <c r="N259" s="37"/>
      <c r="O259" s="129">
        <f t="shared" si="10"/>
        <v>0</v>
      </c>
      <c r="P259" s="157">
        <f t="shared" si="11"/>
        <v>0</v>
      </c>
      <c r="Q259" s="125">
        <f t="shared" si="9"/>
        <v>0</v>
      </c>
    </row>
    <row r="260" spans="7:17" ht="15.75" x14ac:dyDescent="0.25">
      <c r="G260" s="154">
        <v>254</v>
      </c>
      <c r="H260" s="148"/>
      <c r="I260" s="37"/>
      <c r="J260" s="37"/>
      <c r="K260" s="37"/>
      <c r="L260" s="37"/>
      <c r="M260" s="37"/>
      <c r="N260" s="37"/>
      <c r="O260" s="129">
        <f t="shared" si="10"/>
        <v>0</v>
      </c>
      <c r="P260" s="157">
        <f t="shared" si="11"/>
        <v>0</v>
      </c>
      <c r="Q260" s="125">
        <f t="shared" si="9"/>
        <v>0</v>
      </c>
    </row>
    <row r="261" spans="7:17" ht="15.75" x14ac:dyDescent="0.25">
      <c r="G261" s="154">
        <v>255</v>
      </c>
      <c r="H261" s="148"/>
      <c r="I261" s="37"/>
      <c r="J261" s="37"/>
      <c r="K261" s="37"/>
      <c r="L261" s="37"/>
      <c r="M261" s="37"/>
      <c r="N261" s="37"/>
      <c r="O261" s="129">
        <f t="shared" si="10"/>
        <v>0</v>
      </c>
      <c r="P261" s="157">
        <f t="shared" si="11"/>
        <v>0</v>
      </c>
      <c r="Q261" s="125">
        <f t="shared" si="9"/>
        <v>0</v>
      </c>
    </row>
    <row r="262" spans="7:17" ht="15.75" x14ac:dyDescent="0.25">
      <c r="G262" s="154">
        <v>256</v>
      </c>
      <c r="H262" s="148"/>
      <c r="I262" s="37"/>
      <c r="J262" s="37"/>
      <c r="K262" s="37"/>
      <c r="L262" s="37"/>
      <c r="M262" s="37"/>
      <c r="N262" s="37"/>
      <c r="O262" s="129">
        <f t="shared" si="10"/>
        <v>0</v>
      </c>
      <c r="P262" s="157">
        <f t="shared" si="11"/>
        <v>0</v>
      </c>
      <c r="Q262" s="125">
        <f t="shared" si="9"/>
        <v>0</v>
      </c>
    </row>
    <row r="263" spans="7:17" ht="15.75" x14ac:dyDescent="0.25">
      <c r="G263" s="154">
        <v>257</v>
      </c>
      <c r="H263" s="148"/>
      <c r="I263" s="37"/>
      <c r="J263" s="37"/>
      <c r="K263" s="37"/>
      <c r="L263" s="37"/>
      <c r="M263" s="37"/>
      <c r="N263" s="37"/>
      <c r="O263" s="129">
        <f t="shared" si="10"/>
        <v>0</v>
      </c>
      <c r="P263" s="157">
        <f t="shared" si="11"/>
        <v>0</v>
      </c>
      <c r="Q263" s="125">
        <f t="shared" ref="Q263:Q274" si="12" xml:space="preserve"> IFERROR(   ( (  IF($H263 = "N/A",  0, $H263) + IF($I263 = "N/A",  0, $I263) + IF($J263 = "N/A",  0, $J263) + IF($K263 = "N/A",  0, $K263) + IF($L263 = "N/A",  0, $L263) + IF($M263 = "N/A",  0, $M263)  )*100 / (  IF($H263 = "N/A",  0, C_1_Weight) + IF($I263 = "N/A",  0, C_2_Weight) + IF($J263 = "N/A",  0, C_3_Weight) + IF($K263 = "N/A",  0, C_4_Weight) + IF($L263 = "N/A",  0, C_5_Weight) + IF($M263 = "N/A",  0, C_6_Weight)  ) +$O263 ), "Not Yet Rated")</f>
        <v>0</v>
      </c>
    </row>
    <row r="264" spans="7:17" ht="15.75" x14ac:dyDescent="0.25">
      <c r="G264" s="154">
        <v>258</v>
      </c>
      <c r="H264" s="148"/>
      <c r="I264" s="37"/>
      <c r="J264" s="37"/>
      <c r="K264" s="37"/>
      <c r="L264" s="37"/>
      <c r="M264" s="37"/>
      <c r="N264" s="37"/>
      <c r="O264" s="129">
        <f t="shared" ref="O264:O274" si="13">IF( COUNTIF($N264:$N264,"Fail") &gt; 0, -0.2, 0 )</f>
        <v>0</v>
      </c>
      <c r="P264" s="157">
        <f t="shared" ref="P264:P274" si="14">IFERROR( IF(   ($Q264) &lt; 0, 0,   ($Q264)   ), "Not Yet Rated")*5</f>
        <v>0</v>
      </c>
      <c r="Q264" s="125">
        <f t="shared" si="12"/>
        <v>0</v>
      </c>
    </row>
    <row r="265" spans="7:17" ht="15.75" x14ac:dyDescent="0.25">
      <c r="G265" s="154">
        <v>259</v>
      </c>
      <c r="H265" s="148"/>
      <c r="I265" s="37"/>
      <c r="J265" s="37"/>
      <c r="K265" s="37"/>
      <c r="L265" s="37"/>
      <c r="M265" s="37"/>
      <c r="N265" s="37"/>
      <c r="O265" s="129">
        <f t="shared" si="13"/>
        <v>0</v>
      </c>
      <c r="P265" s="157">
        <f t="shared" si="14"/>
        <v>0</v>
      </c>
      <c r="Q265" s="125">
        <f t="shared" si="12"/>
        <v>0</v>
      </c>
    </row>
    <row r="266" spans="7:17" ht="15.75" x14ac:dyDescent="0.25">
      <c r="G266" s="154">
        <v>260</v>
      </c>
      <c r="H266" s="148"/>
      <c r="I266" s="37"/>
      <c r="J266" s="37"/>
      <c r="K266" s="37"/>
      <c r="L266" s="37"/>
      <c r="M266" s="37"/>
      <c r="N266" s="37"/>
      <c r="O266" s="129">
        <f t="shared" si="13"/>
        <v>0</v>
      </c>
      <c r="P266" s="157">
        <f t="shared" si="14"/>
        <v>0</v>
      </c>
      <c r="Q266" s="125">
        <f t="shared" si="12"/>
        <v>0</v>
      </c>
    </row>
    <row r="267" spans="7:17" ht="15.75" x14ac:dyDescent="0.25">
      <c r="G267" s="154">
        <v>261</v>
      </c>
      <c r="H267" s="148"/>
      <c r="I267" s="37"/>
      <c r="J267" s="37"/>
      <c r="K267" s="37"/>
      <c r="L267" s="37"/>
      <c r="M267" s="37"/>
      <c r="N267" s="37"/>
      <c r="O267" s="129">
        <f t="shared" si="13"/>
        <v>0</v>
      </c>
      <c r="P267" s="157">
        <f t="shared" si="14"/>
        <v>0</v>
      </c>
      <c r="Q267" s="125">
        <f t="shared" si="12"/>
        <v>0</v>
      </c>
    </row>
    <row r="268" spans="7:17" ht="15.75" x14ac:dyDescent="0.25">
      <c r="G268" s="154">
        <v>262</v>
      </c>
      <c r="H268" s="148"/>
      <c r="I268" s="37"/>
      <c r="J268" s="37"/>
      <c r="K268" s="37"/>
      <c r="L268" s="37"/>
      <c r="M268" s="37"/>
      <c r="N268" s="37"/>
      <c r="O268" s="129">
        <f t="shared" si="13"/>
        <v>0</v>
      </c>
      <c r="P268" s="157">
        <f t="shared" si="14"/>
        <v>0</v>
      </c>
      <c r="Q268" s="125">
        <f t="shared" si="12"/>
        <v>0</v>
      </c>
    </row>
    <row r="269" spans="7:17" ht="15.75" x14ac:dyDescent="0.25">
      <c r="G269" s="154">
        <v>263</v>
      </c>
      <c r="H269" s="148"/>
      <c r="I269" s="37"/>
      <c r="J269" s="37"/>
      <c r="K269" s="37"/>
      <c r="L269" s="37"/>
      <c r="M269" s="37"/>
      <c r="N269" s="37"/>
      <c r="O269" s="129">
        <f t="shared" si="13"/>
        <v>0</v>
      </c>
      <c r="P269" s="157">
        <f t="shared" si="14"/>
        <v>0</v>
      </c>
      <c r="Q269" s="125">
        <f t="shared" si="12"/>
        <v>0</v>
      </c>
    </row>
    <row r="270" spans="7:17" ht="15.75" x14ac:dyDescent="0.25">
      <c r="G270" s="154">
        <v>264</v>
      </c>
      <c r="H270" s="148"/>
      <c r="I270" s="37"/>
      <c r="J270" s="37"/>
      <c r="K270" s="37"/>
      <c r="L270" s="37"/>
      <c r="M270" s="37"/>
      <c r="N270" s="37"/>
      <c r="O270" s="129">
        <f t="shared" si="13"/>
        <v>0</v>
      </c>
      <c r="P270" s="157">
        <f t="shared" si="14"/>
        <v>0</v>
      </c>
      <c r="Q270" s="125">
        <f t="shared" si="12"/>
        <v>0</v>
      </c>
    </row>
    <row r="271" spans="7:17" ht="15.75" x14ac:dyDescent="0.25">
      <c r="G271" s="154">
        <v>265</v>
      </c>
      <c r="H271" s="148"/>
      <c r="I271" s="37"/>
      <c r="J271" s="37"/>
      <c r="K271" s="37"/>
      <c r="L271" s="37"/>
      <c r="M271" s="37"/>
      <c r="N271" s="37"/>
      <c r="O271" s="129">
        <f t="shared" si="13"/>
        <v>0</v>
      </c>
      <c r="P271" s="157">
        <f t="shared" si="14"/>
        <v>0</v>
      </c>
      <c r="Q271" s="125">
        <f t="shared" si="12"/>
        <v>0</v>
      </c>
    </row>
    <row r="272" spans="7:17" ht="15.75" x14ac:dyDescent="0.25">
      <c r="G272" s="154">
        <v>266</v>
      </c>
      <c r="H272" s="148"/>
      <c r="I272" s="37"/>
      <c r="J272" s="37"/>
      <c r="K272" s="37"/>
      <c r="L272" s="37"/>
      <c r="M272" s="37"/>
      <c r="N272" s="37"/>
      <c r="O272" s="129">
        <f t="shared" si="13"/>
        <v>0</v>
      </c>
      <c r="P272" s="157">
        <f t="shared" si="14"/>
        <v>0</v>
      </c>
      <c r="Q272" s="125">
        <f t="shared" si="12"/>
        <v>0</v>
      </c>
    </row>
    <row r="273" spans="7:17" ht="15.75" x14ac:dyDescent="0.25">
      <c r="G273" s="154">
        <v>267</v>
      </c>
      <c r="H273" s="148"/>
      <c r="I273" s="37"/>
      <c r="J273" s="37"/>
      <c r="K273" s="37"/>
      <c r="L273" s="37"/>
      <c r="M273" s="37"/>
      <c r="N273" s="37"/>
      <c r="O273" s="129">
        <f t="shared" si="13"/>
        <v>0</v>
      </c>
      <c r="P273" s="157">
        <f t="shared" si="14"/>
        <v>0</v>
      </c>
      <c r="Q273" s="125">
        <f t="shared" si="12"/>
        <v>0</v>
      </c>
    </row>
    <row r="274" spans="7:17" ht="16.5" thickBot="1" x14ac:dyDescent="0.3">
      <c r="G274" s="144">
        <v>268</v>
      </c>
      <c r="H274" s="151"/>
      <c r="I274" s="38"/>
      <c r="J274" s="38"/>
      <c r="K274" s="38"/>
      <c r="L274" s="38"/>
      <c r="M274" s="38"/>
      <c r="N274" s="38"/>
      <c r="O274" s="129">
        <f t="shared" si="13"/>
        <v>0</v>
      </c>
      <c r="P274" s="157">
        <f t="shared" si="14"/>
        <v>0</v>
      </c>
      <c r="Q274" s="125">
        <f t="shared" si="12"/>
        <v>0</v>
      </c>
    </row>
    <row r="275" spans="7:17" x14ac:dyDescent="0.2">
      <c r="H275" s="37"/>
      <c r="I275" s="37"/>
      <c r="J275" s="37"/>
      <c r="K275" s="37"/>
      <c r="L275" s="37"/>
      <c r="M275" s="37"/>
      <c r="N275" s="37"/>
    </row>
    <row r="276" spans="7:17" x14ac:dyDescent="0.2">
      <c r="H276" s="37"/>
      <c r="I276" s="37"/>
      <c r="J276" s="37"/>
      <c r="K276" s="37"/>
      <c r="L276" s="37"/>
      <c r="M276" s="37"/>
      <c r="N276" s="37"/>
    </row>
    <row r="277" spans="7:17" x14ac:dyDescent="0.2">
      <c r="H277" s="37"/>
      <c r="I277" s="37"/>
      <c r="J277" s="37"/>
      <c r="K277" s="37"/>
      <c r="L277" s="37"/>
      <c r="M277" s="37"/>
      <c r="N277" s="37"/>
    </row>
    <row r="278" spans="7:17" x14ac:dyDescent="0.2">
      <c r="H278" s="37"/>
      <c r="I278" s="37"/>
      <c r="J278" s="37"/>
      <c r="K278" s="37"/>
      <c r="L278" s="37"/>
      <c r="M278" s="37"/>
      <c r="N278" s="37"/>
    </row>
    <row r="279" spans="7:17" x14ac:dyDescent="0.2">
      <c r="H279" s="37"/>
      <c r="I279" s="37"/>
      <c r="J279" s="37"/>
      <c r="K279" s="37"/>
      <c r="L279" s="37"/>
      <c r="M279" s="37"/>
      <c r="N279" s="37"/>
    </row>
    <row r="280" spans="7:17" x14ac:dyDescent="0.2">
      <c r="H280" s="37"/>
      <c r="I280" s="37"/>
      <c r="J280" s="37"/>
      <c r="K280" s="37"/>
      <c r="L280" s="37"/>
      <c r="M280" s="37"/>
      <c r="N280" s="37"/>
    </row>
    <row r="281" spans="7:17" x14ac:dyDescent="0.2">
      <c r="H281" s="37"/>
      <c r="I281" s="37"/>
      <c r="J281" s="37"/>
      <c r="K281" s="37"/>
      <c r="L281" s="37"/>
      <c r="M281" s="37"/>
      <c r="N281" s="37"/>
    </row>
    <row r="282" spans="7:17" x14ac:dyDescent="0.2">
      <c r="H282" s="37"/>
      <c r="I282" s="37"/>
      <c r="J282" s="37"/>
      <c r="K282" s="37"/>
      <c r="L282" s="37"/>
      <c r="M282" s="37"/>
      <c r="N282" s="37"/>
    </row>
    <row r="283" spans="7:17" x14ac:dyDescent="0.2">
      <c r="H283" s="37"/>
      <c r="I283" s="37"/>
      <c r="J283" s="37"/>
      <c r="K283" s="37"/>
      <c r="L283" s="37"/>
      <c r="M283" s="37"/>
      <c r="N283" s="37"/>
    </row>
    <row r="284" spans="7:17" x14ac:dyDescent="0.2">
      <c r="H284" s="37"/>
      <c r="I284" s="37"/>
      <c r="J284" s="37"/>
      <c r="K284" s="37"/>
      <c r="L284" s="37"/>
      <c r="M284" s="37"/>
      <c r="N284" s="37"/>
    </row>
    <row r="285" spans="7:17" x14ac:dyDescent="0.2">
      <c r="H285" s="37"/>
      <c r="I285" s="37"/>
      <c r="J285" s="37"/>
      <c r="K285" s="37"/>
      <c r="L285" s="37"/>
      <c r="M285" s="37"/>
      <c r="N285" s="37"/>
    </row>
    <row r="286" spans="7:17" x14ac:dyDescent="0.2">
      <c r="H286" s="37"/>
      <c r="I286" s="37"/>
      <c r="J286" s="37"/>
      <c r="K286" s="37"/>
      <c r="L286" s="37"/>
      <c r="M286" s="37"/>
      <c r="N286" s="37"/>
    </row>
    <row r="287" spans="7:17" x14ac:dyDescent="0.2">
      <c r="H287" s="37"/>
      <c r="I287" s="37"/>
      <c r="J287" s="37"/>
      <c r="K287" s="37"/>
      <c r="L287" s="37"/>
      <c r="M287" s="37"/>
      <c r="N287" s="37"/>
    </row>
    <row r="288" spans="7:17" x14ac:dyDescent="0.2">
      <c r="H288" s="37"/>
      <c r="I288" s="37"/>
      <c r="J288" s="37"/>
      <c r="K288" s="37"/>
      <c r="L288" s="37"/>
      <c r="M288" s="37"/>
      <c r="N288" s="37"/>
    </row>
    <row r="289" spans="8:14" x14ac:dyDescent="0.2">
      <c r="H289" s="37"/>
      <c r="I289" s="37"/>
      <c r="J289" s="37"/>
      <c r="K289" s="37"/>
      <c r="L289" s="37"/>
      <c r="M289" s="37"/>
      <c r="N289" s="37"/>
    </row>
    <row r="290" spans="8:14" x14ac:dyDescent="0.2">
      <c r="H290" s="37"/>
      <c r="I290" s="37"/>
      <c r="J290" s="37"/>
      <c r="K290" s="37"/>
      <c r="L290" s="37"/>
      <c r="M290" s="37"/>
      <c r="N290" s="37"/>
    </row>
    <row r="291" spans="8:14" x14ac:dyDescent="0.2">
      <c r="H291" s="37"/>
      <c r="I291" s="37"/>
      <c r="J291" s="37"/>
      <c r="K291" s="37"/>
      <c r="L291" s="37"/>
      <c r="M291" s="37"/>
      <c r="N291" s="37"/>
    </row>
    <row r="292" spans="8:14" x14ac:dyDescent="0.2">
      <c r="H292" s="37"/>
      <c r="I292" s="37"/>
      <c r="J292" s="37"/>
      <c r="K292" s="37"/>
      <c r="L292" s="37"/>
      <c r="M292" s="37"/>
      <c r="N292" s="37"/>
    </row>
    <row r="293" spans="8:14" x14ac:dyDescent="0.2">
      <c r="H293" s="37"/>
      <c r="I293" s="37"/>
      <c r="J293" s="37"/>
      <c r="K293" s="37"/>
      <c r="L293" s="37"/>
      <c r="M293" s="37"/>
      <c r="N293" s="37"/>
    </row>
    <row r="294" spans="8:14" x14ac:dyDescent="0.2">
      <c r="H294" s="37"/>
      <c r="I294" s="37"/>
      <c r="J294" s="37"/>
      <c r="K294" s="37"/>
      <c r="L294" s="37"/>
      <c r="M294" s="37"/>
      <c r="N294" s="37"/>
    </row>
    <row r="295" spans="8:14" x14ac:dyDescent="0.2">
      <c r="H295" s="37"/>
      <c r="I295" s="37"/>
      <c r="J295" s="37"/>
      <c r="K295" s="37"/>
      <c r="L295" s="37"/>
      <c r="M295" s="37"/>
      <c r="N295" s="37"/>
    </row>
    <row r="296" spans="8:14" x14ac:dyDescent="0.2">
      <c r="H296" s="37"/>
      <c r="I296" s="37"/>
      <c r="J296" s="37"/>
      <c r="K296" s="37"/>
      <c r="L296" s="37"/>
      <c r="M296" s="37"/>
      <c r="N296" s="37"/>
    </row>
    <row r="297" spans="8:14" x14ac:dyDescent="0.2">
      <c r="H297" s="37"/>
      <c r="I297" s="37"/>
      <c r="J297" s="37"/>
      <c r="K297" s="37"/>
      <c r="L297" s="37"/>
      <c r="M297" s="37"/>
      <c r="N297" s="37"/>
    </row>
    <row r="298" spans="8:14" x14ac:dyDescent="0.2">
      <c r="H298" s="37"/>
      <c r="I298" s="37"/>
      <c r="J298" s="37"/>
      <c r="K298" s="37"/>
      <c r="L298" s="37"/>
      <c r="M298" s="37"/>
      <c r="N298" s="37"/>
    </row>
    <row r="299" spans="8:14" x14ac:dyDescent="0.2">
      <c r="H299" s="37"/>
      <c r="I299" s="37"/>
      <c r="J299" s="37"/>
      <c r="K299" s="37"/>
      <c r="L299" s="37"/>
      <c r="M299" s="37"/>
      <c r="N299" s="37"/>
    </row>
    <row r="300" spans="8:14" x14ac:dyDescent="0.2">
      <c r="H300" s="37"/>
      <c r="I300" s="37"/>
      <c r="J300" s="37"/>
      <c r="K300" s="37"/>
      <c r="L300" s="37"/>
      <c r="M300" s="37"/>
      <c r="N300" s="37"/>
    </row>
    <row r="301" spans="8:14" x14ac:dyDescent="0.2">
      <c r="H301" s="37"/>
      <c r="I301" s="37"/>
      <c r="J301" s="37"/>
      <c r="K301" s="37"/>
      <c r="L301" s="37"/>
      <c r="M301" s="37"/>
      <c r="N301" s="37"/>
    </row>
    <row r="302" spans="8:14" x14ac:dyDescent="0.2">
      <c r="H302" s="37"/>
      <c r="I302" s="37"/>
      <c r="J302" s="37"/>
      <c r="K302" s="37"/>
      <c r="L302" s="37"/>
      <c r="M302" s="37"/>
      <c r="N302" s="37"/>
    </row>
    <row r="303" spans="8:14" x14ac:dyDescent="0.2">
      <c r="H303" s="37"/>
      <c r="I303" s="37"/>
      <c r="J303" s="37"/>
      <c r="K303" s="37"/>
      <c r="L303" s="37"/>
      <c r="M303" s="37"/>
      <c r="N303" s="37"/>
    </row>
    <row r="304" spans="8:14" x14ac:dyDescent="0.2">
      <c r="H304" s="37"/>
      <c r="I304" s="37"/>
      <c r="J304" s="37"/>
      <c r="K304" s="37"/>
      <c r="L304" s="37"/>
      <c r="M304" s="37"/>
      <c r="N304" s="37"/>
    </row>
    <row r="305" spans="8:14" x14ac:dyDescent="0.2">
      <c r="H305" s="37"/>
      <c r="I305" s="37"/>
      <c r="J305" s="37"/>
      <c r="K305" s="37"/>
      <c r="L305" s="37"/>
      <c r="M305" s="37"/>
      <c r="N305" s="37"/>
    </row>
    <row r="306" spans="8:14" x14ac:dyDescent="0.2">
      <c r="H306" s="37"/>
      <c r="I306" s="37"/>
      <c r="J306" s="37"/>
      <c r="K306" s="37"/>
      <c r="L306" s="37"/>
      <c r="M306" s="37"/>
      <c r="N306" s="37"/>
    </row>
    <row r="307" spans="8:14" x14ac:dyDescent="0.2">
      <c r="H307" s="37"/>
      <c r="I307" s="37"/>
      <c r="J307" s="37"/>
      <c r="K307" s="37"/>
      <c r="L307" s="37"/>
      <c r="M307" s="37"/>
      <c r="N307" s="37"/>
    </row>
    <row r="308" spans="8:14" x14ac:dyDescent="0.2">
      <c r="H308" s="37"/>
      <c r="I308" s="37"/>
      <c r="J308" s="37"/>
      <c r="K308" s="37"/>
      <c r="L308" s="37"/>
      <c r="M308" s="37"/>
      <c r="N308" s="37"/>
    </row>
    <row r="309" spans="8:14" x14ac:dyDescent="0.2">
      <c r="H309" s="37"/>
      <c r="I309" s="37"/>
      <c r="J309" s="37"/>
      <c r="K309" s="37"/>
      <c r="L309" s="37"/>
      <c r="M309" s="37"/>
      <c r="N309" s="37"/>
    </row>
    <row r="310" spans="8:14" x14ac:dyDescent="0.2">
      <c r="H310" s="37"/>
      <c r="I310" s="37"/>
      <c r="J310" s="37"/>
      <c r="K310" s="37"/>
      <c r="L310" s="37"/>
      <c r="M310" s="37"/>
      <c r="N310" s="37"/>
    </row>
    <row r="311" spans="8:14" x14ac:dyDescent="0.2">
      <c r="H311" s="37"/>
      <c r="I311" s="37"/>
      <c r="J311" s="37"/>
      <c r="K311" s="37"/>
      <c r="L311" s="37"/>
      <c r="M311" s="37"/>
      <c r="N311" s="37"/>
    </row>
    <row r="312" spans="8:14" x14ac:dyDescent="0.2">
      <c r="H312" s="37"/>
      <c r="I312" s="37"/>
      <c r="J312" s="37"/>
      <c r="K312" s="37"/>
      <c r="L312" s="37"/>
      <c r="M312" s="37"/>
      <c r="N312" s="37"/>
    </row>
    <row r="313" spans="8:14" x14ac:dyDescent="0.2">
      <c r="H313" s="37"/>
      <c r="I313" s="37"/>
      <c r="J313" s="37"/>
      <c r="K313" s="37"/>
      <c r="L313" s="37"/>
      <c r="M313" s="37"/>
      <c r="N313" s="37"/>
    </row>
    <row r="314" spans="8:14" x14ac:dyDescent="0.2">
      <c r="H314" s="37"/>
      <c r="I314" s="37"/>
      <c r="J314" s="37"/>
      <c r="K314" s="37"/>
      <c r="L314" s="37"/>
      <c r="M314" s="37"/>
      <c r="N314" s="37"/>
    </row>
    <row r="315" spans="8:14" x14ac:dyDescent="0.2">
      <c r="H315" s="37"/>
      <c r="I315" s="37"/>
      <c r="J315" s="37"/>
      <c r="K315" s="37"/>
      <c r="L315" s="37"/>
      <c r="M315" s="37"/>
      <c r="N315" s="37"/>
    </row>
    <row r="316" spans="8:14" x14ac:dyDescent="0.2">
      <c r="H316" s="37"/>
      <c r="I316" s="37"/>
      <c r="J316" s="37"/>
      <c r="K316" s="37"/>
      <c r="L316" s="37"/>
      <c r="M316" s="37"/>
      <c r="N316" s="37"/>
    </row>
    <row r="317" spans="8:14" x14ac:dyDescent="0.2">
      <c r="H317" s="37"/>
      <c r="I317" s="37"/>
      <c r="J317" s="37"/>
      <c r="K317" s="37"/>
      <c r="L317" s="37"/>
      <c r="M317" s="37"/>
      <c r="N317" s="37"/>
    </row>
    <row r="318" spans="8:14" x14ac:dyDescent="0.2">
      <c r="H318" s="37"/>
      <c r="I318" s="37"/>
      <c r="J318" s="37"/>
      <c r="K318" s="37"/>
      <c r="L318" s="37"/>
      <c r="M318" s="37"/>
      <c r="N318" s="37"/>
    </row>
    <row r="319" spans="8:14" x14ac:dyDescent="0.2">
      <c r="H319" s="37"/>
      <c r="I319" s="37"/>
      <c r="J319" s="37"/>
      <c r="K319" s="37"/>
      <c r="L319" s="37"/>
      <c r="M319" s="37"/>
      <c r="N319" s="37"/>
    </row>
    <row r="320" spans="8:14" x14ac:dyDescent="0.2">
      <c r="H320" s="37"/>
      <c r="I320" s="37"/>
      <c r="J320" s="37"/>
      <c r="K320" s="37"/>
      <c r="L320" s="37"/>
      <c r="M320" s="37"/>
      <c r="N320" s="37"/>
    </row>
    <row r="321" spans="8:14" x14ac:dyDescent="0.2">
      <c r="H321" s="37"/>
      <c r="I321" s="37"/>
      <c r="J321" s="37"/>
      <c r="K321" s="37"/>
      <c r="L321" s="37"/>
      <c r="M321" s="37"/>
      <c r="N321" s="37"/>
    </row>
    <row r="322" spans="8:14" x14ac:dyDescent="0.2">
      <c r="H322" s="37"/>
      <c r="I322" s="37"/>
      <c r="J322" s="37"/>
      <c r="K322" s="37"/>
      <c r="L322" s="37"/>
      <c r="M322" s="37"/>
      <c r="N322" s="37"/>
    </row>
    <row r="323" spans="8:14" x14ac:dyDescent="0.2">
      <c r="H323" s="37"/>
      <c r="I323" s="37"/>
      <c r="J323" s="37"/>
      <c r="K323" s="37"/>
      <c r="L323" s="37"/>
      <c r="M323" s="37"/>
      <c r="N323" s="37"/>
    </row>
    <row r="324" spans="8:14" x14ac:dyDescent="0.2">
      <c r="H324" s="37"/>
      <c r="I324" s="37"/>
      <c r="J324" s="37"/>
      <c r="K324" s="37"/>
      <c r="L324" s="37"/>
      <c r="M324" s="37"/>
      <c r="N324" s="37"/>
    </row>
    <row r="325" spans="8:14" x14ac:dyDescent="0.2">
      <c r="H325" s="37"/>
      <c r="I325" s="37"/>
      <c r="J325" s="37"/>
      <c r="K325" s="37"/>
      <c r="L325" s="37"/>
      <c r="M325" s="37"/>
      <c r="N325" s="37"/>
    </row>
    <row r="326" spans="8:14" x14ac:dyDescent="0.2">
      <c r="H326" s="37"/>
      <c r="I326" s="37"/>
      <c r="J326" s="37"/>
      <c r="K326" s="37"/>
      <c r="L326" s="37"/>
      <c r="M326" s="37"/>
      <c r="N326" s="37"/>
    </row>
    <row r="327" spans="8:14" x14ac:dyDescent="0.2">
      <c r="H327" s="37"/>
      <c r="I327" s="37"/>
      <c r="J327" s="37"/>
      <c r="K327" s="37"/>
      <c r="L327" s="37"/>
      <c r="M327" s="37"/>
      <c r="N327" s="37"/>
    </row>
    <row r="328" spans="8:14" x14ac:dyDescent="0.2">
      <c r="H328" s="37"/>
      <c r="I328" s="37"/>
      <c r="J328" s="37"/>
      <c r="K328" s="37"/>
      <c r="L328" s="37"/>
      <c r="M328" s="37"/>
      <c r="N328" s="37"/>
    </row>
    <row r="329" spans="8:14" x14ac:dyDescent="0.2">
      <c r="H329" s="37"/>
      <c r="I329" s="37"/>
      <c r="J329" s="37"/>
      <c r="K329" s="37"/>
      <c r="L329" s="37"/>
      <c r="M329" s="37"/>
      <c r="N329" s="37"/>
    </row>
    <row r="330" spans="8:14" x14ac:dyDescent="0.2">
      <c r="H330" s="37"/>
      <c r="I330" s="37"/>
      <c r="J330" s="37"/>
      <c r="K330" s="37"/>
      <c r="L330" s="37"/>
      <c r="M330" s="37"/>
      <c r="N330" s="37"/>
    </row>
    <row r="331" spans="8:14" x14ac:dyDescent="0.2">
      <c r="H331" s="37"/>
      <c r="I331" s="37"/>
      <c r="J331" s="37"/>
      <c r="K331" s="37"/>
      <c r="L331" s="37"/>
      <c r="M331" s="37"/>
      <c r="N331" s="37"/>
    </row>
    <row r="332" spans="8:14" x14ac:dyDescent="0.2">
      <c r="H332" s="37"/>
      <c r="I332" s="37"/>
      <c r="J332" s="37"/>
      <c r="K332" s="37"/>
      <c r="L332" s="37"/>
      <c r="M332" s="37"/>
      <c r="N332" s="37"/>
    </row>
    <row r="333" spans="8:14" x14ac:dyDescent="0.2">
      <c r="H333" s="37"/>
      <c r="I333" s="37"/>
      <c r="J333" s="37"/>
      <c r="K333" s="37"/>
      <c r="L333" s="37"/>
      <c r="M333" s="37"/>
      <c r="N333" s="37"/>
    </row>
    <row r="334" spans="8:14" x14ac:dyDescent="0.2">
      <c r="H334" s="37"/>
      <c r="I334" s="37"/>
      <c r="J334" s="37"/>
      <c r="K334" s="37"/>
      <c r="L334" s="37"/>
      <c r="M334" s="37"/>
      <c r="N334" s="37"/>
    </row>
    <row r="335" spans="8:14" x14ac:dyDescent="0.2">
      <c r="H335" s="37"/>
      <c r="I335" s="37"/>
      <c r="J335" s="37"/>
      <c r="K335" s="37"/>
      <c r="L335" s="37"/>
      <c r="M335" s="37"/>
      <c r="N335" s="37"/>
    </row>
    <row r="336" spans="8:14" x14ac:dyDescent="0.2">
      <c r="H336" s="37"/>
      <c r="I336" s="37"/>
      <c r="J336" s="37"/>
      <c r="K336" s="37"/>
      <c r="L336" s="37"/>
      <c r="M336" s="37"/>
      <c r="N336" s="37"/>
    </row>
    <row r="337" spans="8:14" x14ac:dyDescent="0.2">
      <c r="H337" s="37"/>
      <c r="I337" s="37"/>
      <c r="J337" s="37"/>
      <c r="K337" s="37"/>
      <c r="L337" s="37"/>
      <c r="M337" s="37"/>
      <c r="N337" s="37"/>
    </row>
    <row r="338" spans="8:14" x14ac:dyDescent="0.2">
      <c r="H338" s="37"/>
      <c r="I338" s="37"/>
      <c r="J338" s="37"/>
      <c r="K338" s="37"/>
      <c r="L338" s="37"/>
      <c r="M338" s="37"/>
      <c r="N338" s="37"/>
    </row>
    <row r="339" spans="8:14" x14ac:dyDescent="0.2">
      <c r="H339" s="37"/>
      <c r="I339" s="37"/>
      <c r="J339" s="37"/>
      <c r="K339" s="37"/>
      <c r="L339" s="37"/>
      <c r="M339" s="37"/>
      <c r="N339" s="37"/>
    </row>
    <row r="340" spans="8:14" x14ac:dyDescent="0.2">
      <c r="H340" s="37"/>
      <c r="I340" s="37"/>
      <c r="J340" s="37"/>
      <c r="K340" s="37"/>
      <c r="L340" s="37"/>
      <c r="M340" s="37"/>
      <c r="N340" s="37"/>
    </row>
    <row r="341" spans="8:14" x14ac:dyDescent="0.2">
      <c r="H341" s="37"/>
      <c r="I341" s="37"/>
      <c r="J341" s="37"/>
      <c r="K341" s="37"/>
      <c r="L341" s="37"/>
      <c r="M341" s="37"/>
      <c r="N341" s="37"/>
    </row>
    <row r="342" spans="8:14" x14ac:dyDescent="0.2">
      <c r="H342" s="37"/>
      <c r="I342" s="37"/>
      <c r="J342" s="37"/>
      <c r="K342" s="37"/>
      <c r="L342" s="37"/>
      <c r="M342" s="37"/>
      <c r="N342" s="37"/>
    </row>
    <row r="343" spans="8:14" x14ac:dyDescent="0.2">
      <c r="H343" s="37"/>
      <c r="I343" s="37"/>
      <c r="J343" s="37"/>
      <c r="K343" s="37"/>
      <c r="L343" s="37"/>
      <c r="M343" s="37"/>
      <c r="N343" s="37"/>
    </row>
    <row r="344" spans="8:14" x14ac:dyDescent="0.2">
      <c r="H344" s="37"/>
      <c r="I344" s="37"/>
      <c r="J344" s="37"/>
      <c r="K344" s="37"/>
      <c r="L344" s="37"/>
      <c r="M344" s="37"/>
      <c r="N344" s="37"/>
    </row>
    <row r="345" spans="8:14" x14ac:dyDescent="0.2">
      <c r="H345" s="37"/>
      <c r="I345" s="37"/>
      <c r="J345" s="37"/>
      <c r="K345" s="37"/>
      <c r="L345" s="37"/>
      <c r="M345" s="37"/>
      <c r="N345" s="37"/>
    </row>
    <row r="346" spans="8:14" x14ac:dyDescent="0.2">
      <c r="H346" s="37"/>
      <c r="I346" s="37"/>
      <c r="J346" s="37"/>
      <c r="K346" s="37"/>
      <c r="L346" s="37"/>
      <c r="M346" s="37"/>
      <c r="N346" s="37"/>
    </row>
    <row r="347" spans="8:14" x14ac:dyDescent="0.2">
      <c r="H347" s="37"/>
      <c r="I347" s="37"/>
      <c r="J347" s="37"/>
      <c r="K347" s="37"/>
      <c r="L347" s="37"/>
      <c r="M347" s="37"/>
      <c r="N347" s="37"/>
    </row>
    <row r="348" spans="8:14" x14ac:dyDescent="0.2">
      <c r="H348" s="37"/>
      <c r="I348" s="37"/>
      <c r="J348" s="37"/>
      <c r="K348" s="37"/>
      <c r="L348" s="37"/>
      <c r="M348" s="37"/>
      <c r="N348" s="37"/>
    </row>
    <row r="349" spans="8:14" x14ac:dyDescent="0.2">
      <c r="H349" s="37"/>
      <c r="I349" s="37"/>
      <c r="J349" s="37"/>
      <c r="K349" s="37"/>
      <c r="L349" s="37"/>
      <c r="M349" s="37"/>
      <c r="N349" s="37"/>
    </row>
    <row r="350" spans="8:14" x14ac:dyDescent="0.2">
      <c r="H350" s="37"/>
      <c r="I350" s="37"/>
      <c r="J350" s="37"/>
      <c r="K350" s="37"/>
      <c r="L350" s="37"/>
      <c r="M350" s="37"/>
      <c r="N350" s="37"/>
    </row>
    <row r="351" spans="8:14" x14ac:dyDescent="0.2">
      <c r="H351" s="37"/>
      <c r="I351" s="37"/>
      <c r="J351" s="37"/>
      <c r="K351" s="37"/>
      <c r="L351" s="37"/>
      <c r="M351" s="37"/>
      <c r="N351" s="37"/>
    </row>
    <row r="352" spans="8:14" x14ac:dyDescent="0.2">
      <c r="H352" s="37"/>
      <c r="I352" s="37"/>
      <c r="J352" s="37"/>
      <c r="K352" s="37"/>
      <c r="L352" s="37"/>
      <c r="M352" s="37"/>
      <c r="N352" s="37"/>
    </row>
    <row r="353" spans="8:14" x14ac:dyDescent="0.2">
      <c r="H353" s="37"/>
      <c r="I353" s="37"/>
      <c r="J353" s="37"/>
      <c r="K353" s="37"/>
      <c r="L353" s="37"/>
      <c r="M353" s="37"/>
      <c r="N353" s="37"/>
    </row>
    <row r="354" spans="8:14" x14ac:dyDescent="0.2">
      <c r="H354" s="37"/>
      <c r="I354" s="37"/>
      <c r="J354" s="37"/>
      <c r="K354" s="37"/>
      <c r="L354" s="37"/>
      <c r="M354" s="37"/>
      <c r="N354" s="37"/>
    </row>
    <row r="355" spans="8:14" x14ac:dyDescent="0.2">
      <c r="H355" s="37"/>
      <c r="I355" s="37"/>
      <c r="J355" s="37"/>
      <c r="K355" s="37"/>
      <c r="L355" s="37"/>
      <c r="M355" s="37"/>
      <c r="N355" s="37"/>
    </row>
    <row r="356" spans="8:14" x14ac:dyDescent="0.2">
      <c r="H356" s="37"/>
      <c r="I356" s="37"/>
      <c r="J356" s="37"/>
      <c r="K356" s="37"/>
      <c r="L356" s="37"/>
      <c r="M356" s="37"/>
      <c r="N356" s="37"/>
    </row>
    <row r="357" spans="8:14" x14ac:dyDescent="0.2">
      <c r="H357" s="37"/>
      <c r="I357" s="37"/>
      <c r="J357" s="37"/>
      <c r="K357" s="37"/>
      <c r="L357" s="37"/>
      <c r="M357" s="37"/>
      <c r="N357" s="37"/>
    </row>
    <row r="358" spans="8:14" x14ac:dyDescent="0.2">
      <c r="H358" s="37"/>
      <c r="I358" s="37"/>
      <c r="J358" s="37"/>
      <c r="K358" s="37"/>
      <c r="L358" s="37"/>
      <c r="M358" s="37"/>
      <c r="N358" s="37"/>
    </row>
    <row r="359" spans="8:14" x14ac:dyDescent="0.2">
      <c r="H359" s="37"/>
      <c r="I359" s="37"/>
      <c r="J359" s="37"/>
      <c r="K359" s="37"/>
      <c r="L359" s="37"/>
      <c r="M359" s="37"/>
      <c r="N359" s="37"/>
    </row>
    <row r="360" spans="8:14" x14ac:dyDescent="0.2">
      <c r="H360" s="37"/>
      <c r="I360" s="37"/>
      <c r="J360" s="37"/>
      <c r="K360" s="37"/>
      <c r="L360" s="37"/>
      <c r="M360" s="37"/>
      <c r="N360" s="37"/>
    </row>
    <row r="361" spans="8:14" x14ac:dyDescent="0.2">
      <c r="H361" s="37"/>
      <c r="I361" s="37"/>
      <c r="J361" s="37"/>
      <c r="K361" s="37"/>
      <c r="L361" s="37"/>
      <c r="M361" s="37"/>
      <c r="N361" s="37"/>
    </row>
    <row r="362" spans="8:14" x14ac:dyDescent="0.2">
      <c r="H362" s="37"/>
      <c r="I362" s="37"/>
      <c r="J362" s="37"/>
      <c r="K362" s="37"/>
      <c r="L362" s="37"/>
      <c r="M362" s="37"/>
      <c r="N362" s="37"/>
    </row>
    <row r="363" spans="8:14" x14ac:dyDescent="0.2">
      <c r="H363" s="37"/>
      <c r="I363" s="37"/>
      <c r="J363" s="37"/>
      <c r="K363" s="37"/>
      <c r="L363" s="37"/>
      <c r="M363" s="37"/>
      <c r="N363" s="37"/>
    </row>
    <row r="364" spans="8:14" x14ac:dyDescent="0.2">
      <c r="H364" s="37"/>
      <c r="I364" s="37"/>
      <c r="J364" s="37"/>
      <c r="K364" s="37"/>
      <c r="L364" s="37"/>
      <c r="M364" s="37"/>
      <c r="N364" s="37"/>
    </row>
    <row r="365" spans="8:14" x14ac:dyDescent="0.2">
      <c r="H365" s="37"/>
      <c r="I365" s="37"/>
      <c r="J365" s="37"/>
      <c r="K365" s="37"/>
      <c r="L365" s="37"/>
      <c r="M365" s="37"/>
      <c r="N365" s="37"/>
    </row>
    <row r="366" spans="8:14" x14ac:dyDescent="0.2">
      <c r="H366" s="37"/>
      <c r="I366" s="37"/>
      <c r="J366" s="37"/>
      <c r="K366" s="37"/>
      <c r="L366" s="37"/>
      <c r="M366" s="37"/>
      <c r="N366" s="37"/>
    </row>
    <row r="367" spans="8:14" x14ac:dyDescent="0.2">
      <c r="H367" s="37"/>
      <c r="I367" s="37"/>
      <c r="J367" s="37"/>
      <c r="K367" s="37"/>
      <c r="L367" s="37"/>
      <c r="M367" s="37"/>
      <c r="N367" s="37"/>
    </row>
    <row r="368" spans="8:14" x14ac:dyDescent="0.2">
      <c r="H368" s="37"/>
      <c r="I368" s="37"/>
      <c r="J368" s="37"/>
      <c r="K368" s="37"/>
      <c r="L368" s="37"/>
      <c r="M368" s="37"/>
      <c r="N368" s="37"/>
    </row>
    <row r="369" spans="8:14" x14ac:dyDescent="0.2">
      <c r="H369" s="37"/>
      <c r="I369" s="37"/>
      <c r="J369" s="37"/>
      <c r="K369" s="37"/>
      <c r="L369" s="37"/>
      <c r="M369" s="37"/>
      <c r="N369" s="37"/>
    </row>
    <row r="370" spans="8:14" x14ac:dyDescent="0.2">
      <c r="H370" s="37"/>
      <c r="I370" s="37"/>
      <c r="J370" s="37"/>
      <c r="K370" s="37"/>
      <c r="L370" s="37"/>
      <c r="M370" s="37"/>
      <c r="N370" s="37"/>
    </row>
    <row r="371" spans="8:14" x14ac:dyDescent="0.2">
      <c r="H371" s="37"/>
      <c r="I371" s="37"/>
      <c r="J371" s="37"/>
      <c r="K371" s="37"/>
      <c r="L371" s="37"/>
      <c r="M371" s="37"/>
      <c r="N371" s="37"/>
    </row>
    <row r="372" spans="8:14" x14ac:dyDescent="0.2">
      <c r="H372" s="37"/>
      <c r="I372" s="37"/>
      <c r="J372" s="37"/>
      <c r="K372" s="37"/>
      <c r="L372" s="37"/>
      <c r="M372" s="37"/>
      <c r="N372" s="37"/>
    </row>
    <row r="373" spans="8:14" x14ac:dyDescent="0.2">
      <c r="H373" s="37"/>
      <c r="I373" s="37"/>
      <c r="J373" s="37"/>
      <c r="K373" s="37"/>
      <c r="L373" s="37"/>
      <c r="M373" s="37"/>
      <c r="N373" s="37"/>
    </row>
    <row r="374" spans="8:14" x14ac:dyDescent="0.2">
      <c r="H374" s="37"/>
      <c r="I374" s="37"/>
      <c r="J374" s="37"/>
      <c r="K374" s="37"/>
      <c r="L374" s="37"/>
      <c r="M374" s="37"/>
      <c r="N374" s="37"/>
    </row>
    <row r="375" spans="8:14" x14ac:dyDescent="0.2">
      <c r="H375" s="37"/>
      <c r="I375" s="37"/>
      <c r="J375" s="37"/>
      <c r="K375" s="37"/>
      <c r="L375" s="37"/>
      <c r="M375" s="37"/>
      <c r="N375" s="37"/>
    </row>
    <row r="376" spans="8:14" x14ac:dyDescent="0.2">
      <c r="H376" s="37"/>
      <c r="I376" s="37"/>
      <c r="J376" s="37"/>
      <c r="K376" s="37"/>
      <c r="L376" s="37"/>
      <c r="M376" s="37"/>
      <c r="N376" s="37"/>
    </row>
    <row r="377" spans="8:14" x14ac:dyDescent="0.2">
      <c r="H377" s="37"/>
      <c r="I377" s="37"/>
      <c r="J377" s="37"/>
      <c r="K377" s="37"/>
      <c r="L377" s="37"/>
      <c r="M377" s="37"/>
      <c r="N377" s="37"/>
    </row>
    <row r="378" spans="8:14" x14ac:dyDescent="0.2">
      <c r="H378" s="37"/>
      <c r="I378" s="37"/>
      <c r="J378" s="37"/>
      <c r="K378" s="37"/>
      <c r="L378" s="37"/>
      <c r="M378" s="37"/>
      <c r="N378" s="37"/>
    </row>
    <row r="379" spans="8:14" x14ac:dyDescent="0.2">
      <c r="H379" s="37"/>
      <c r="I379" s="37"/>
      <c r="J379" s="37"/>
      <c r="K379" s="37"/>
      <c r="L379" s="37"/>
      <c r="M379" s="37"/>
      <c r="N379" s="37"/>
    </row>
    <row r="380" spans="8:14" x14ac:dyDescent="0.2">
      <c r="H380" s="37"/>
      <c r="I380" s="37"/>
      <c r="J380" s="37"/>
      <c r="K380" s="37"/>
      <c r="L380" s="37"/>
      <c r="M380" s="37"/>
      <c r="N380" s="37"/>
    </row>
    <row r="381" spans="8:14" x14ac:dyDescent="0.2">
      <c r="H381" s="37"/>
      <c r="I381" s="37"/>
      <c r="J381" s="37"/>
      <c r="K381" s="37"/>
      <c r="L381" s="37"/>
      <c r="M381" s="37"/>
      <c r="N381" s="37"/>
    </row>
    <row r="382" spans="8:14" x14ac:dyDescent="0.2">
      <c r="H382" s="37"/>
      <c r="I382" s="37"/>
      <c r="J382" s="37"/>
      <c r="K382" s="37"/>
      <c r="L382" s="37"/>
      <c r="M382" s="37"/>
      <c r="N382" s="37"/>
    </row>
    <row r="383" spans="8:14" x14ac:dyDescent="0.2">
      <c r="H383" s="37"/>
      <c r="I383" s="37"/>
      <c r="J383" s="37"/>
      <c r="K383" s="37"/>
      <c r="L383" s="37"/>
      <c r="M383" s="37"/>
      <c r="N383" s="37"/>
    </row>
    <row r="384" spans="8:14" x14ac:dyDescent="0.2">
      <c r="H384" s="37"/>
      <c r="I384" s="37"/>
      <c r="J384" s="37"/>
      <c r="K384" s="37"/>
      <c r="L384" s="37"/>
      <c r="M384" s="37"/>
      <c r="N384" s="37"/>
    </row>
    <row r="385" spans="8:14" x14ac:dyDescent="0.2">
      <c r="H385" s="37"/>
      <c r="I385" s="37"/>
      <c r="J385" s="37"/>
      <c r="K385" s="37"/>
      <c r="L385" s="37"/>
      <c r="M385" s="37"/>
      <c r="N385" s="37"/>
    </row>
    <row r="386" spans="8:14" x14ac:dyDescent="0.2">
      <c r="H386" s="37"/>
      <c r="I386" s="37"/>
      <c r="J386" s="37"/>
      <c r="K386" s="37"/>
      <c r="L386" s="37"/>
      <c r="M386" s="37"/>
      <c r="N386" s="37"/>
    </row>
    <row r="387" spans="8:14" x14ac:dyDescent="0.2">
      <c r="H387" s="37"/>
      <c r="I387" s="37"/>
      <c r="J387" s="37"/>
      <c r="K387" s="37"/>
      <c r="L387" s="37"/>
      <c r="M387" s="37"/>
      <c r="N387" s="37"/>
    </row>
    <row r="388" spans="8:14" x14ac:dyDescent="0.2">
      <c r="H388" s="37"/>
      <c r="I388" s="37"/>
      <c r="J388" s="37"/>
      <c r="K388" s="37"/>
      <c r="L388" s="37"/>
      <c r="M388" s="37"/>
      <c r="N388" s="37"/>
    </row>
    <row r="389" spans="8:14" x14ac:dyDescent="0.2">
      <c r="H389" s="37"/>
      <c r="I389" s="37"/>
      <c r="J389" s="37"/>
      <c r="K389" s="37"/>
      <c r="L389" s="37"/>
      <c r="M389" s="37"/>
      <c r="N389" s="37"/>
    </row>
    <row r="390" spans="8:14" x14ac:dyDescent="0.2">
      <c r="H390" s="37"/>
      <c r="I390" s="37"/>
      <c r="J390" s="37"/>
      <c r="K390" s="37"/>
      <c r="L390" s="37"/>
      <c r="M390" s="37"/>
      <c r="N390" s="37"/>
    </row>
    <row r="391" spans="8:14" x14ac:dyDescent="0.2">
      <c r="H391" s="37"/>
      <c r="I391" s="37"/>
      <c r="J391" s="37"/>
      <c r="K391" s="37"/>
      <c r="L391" s="37"/>
      <c r="M391" s="37"/>
      <c r="N391" s="37"/>
    </row>
    <row r="392" spans="8:14" x14ac:dyDescent="0.2">
      <c r="H392" s="37"/>
      <c r="I392" s="37"/>
      <c r="J392" s="37"/>
      <c r="K392" s="37"/>
      <c r="L392" s="37"/>
      <c r="M392" s="37"/>
      <c r="N392" s="37"/>
    </row>
    <row r="393" spans="8:14" x14ac:dyDescent="0.2">
      <c r="H393" s="37"/>
      <c r="I393" s="37"/>
      <c r="J393" s="37"/>
      <c r="K393" s="37"/>
      <c r="L393" s="37"/>
      <c r="M393" s="37"/>
      <c r="N393" s="37"/>
    </row>
    <row r="394" spans="8:14" x14ac:dyDescent="0.2">
      <c r="H394" s="37"/>
      <c r="I394" s="37"/>
      <c r="J394" s="37"/>
      <c r="K394" s="37"/>
      <c r="L394" s="37"/>
      <c r="M394" s="37"/>
      <c r="N394" s="37"/>
    </row>
    <row r="395" spans="8:14" x14ac:dyDescent="0.2">
      <c r="H395" s="37"/>
      <c r="I395" s="37"/>
      <c r="J395" s="37"/>
      <c r="K395" s="37"/>
      <c r="L395" s="37"/>
      <c r="M395" s="37"/>
      <c r="N395" s="37"/>
    </row>
    <row r="396" spans="8:14" x14ac:dyDescent="0.2">
      <c r="H396" s="37"/>
      <c r="I396" s="37"/>
      <c r="J396" s="37"/>
      <c r="K396" s="37"/>
      <c r="L396" s="37"/>
      <c r="M396" s="37"/>
      <c r="N396" s="37"/>
    </row>
    <row r="397" spans="8:14" x14ac:dyDescent="0.2">
      <c r="H397" s="37"/>
      <c r="I397" s="37"/>
      <c r="J397" s="37"/>
      <c r="K397" s="37"/>
      <c r="L397" s="37"/>
      <c r="M397" s="37"/>
      <c r="N397" s="37"/>
    </row>
    <row r="398" spans="8:14" x14ac:dyDescent="0.2">
      <c r="H398" s="37"/>
      <c r="I398" s="37"/>
      <c r="J398" s="37"/>
      <c r="K398" s="37"/>
      <c r="L398" s="37"/>
      <c r="M398" s="37"/>
      <c r="N398" s="37"/>
    </row>
    <row r="399" spans="8:14" x14ac:dyDescent="0.2">
      <c r="H399" s="37"/>
      <c r="I399" s="37"/>
      <c r="J399" s="37"/>
      <c r="K399" s="37"/>
      <c r="L399" s="37"/>
      <c r="M399" s="37"/>
      <c r="N399" s="37"/>
    </row>
    <row r="400" spans="8:14" x14ac:dyDescent="0.2">
      <c r="H400" s="37"/>
      <c r="I400" s="37"/>
      <c r="J400" s="37"/>
      <c r="K400" s="37"/>
      <c r="L400" s="37"/>
      <c r="M400" s="37"/>
      <c r="N400" s="37"/>
    </row>
    <row r="401" spans="8:14" x14ac:dyDescent="0.2">
      <c r="H401" s="37"/>
      <c r="I401" s="37"/>
      <c r="J401" s="37"/>
      <c r="K401" s="37"/>
      <c r="L401" s="37"/>
      <c r="M401" s="37"/>
      <c r="N401" s="37"/>
    </row>
    <row r="402" spans="8:14" x14ac:dyDescent="0.2">
      <c r="H402" s="37"/>
      <c r="I402" s="37"/>
      <c r="J402" s="37"/>
      <c r="K402" s="37"/>
      <c r="L402" s="37"/>
      <c r="M402" s="37"/>
      <c r="N402" s="37"/>
    </row>
    <row r="403" spans="8:14" x14ac:dyDescent="0.2">
      <c r="H403" s="37"/>
      <c r="I403" s="37"/>
      <c r="J403" s="37"/>
      <c r="K403" s="37"/>
      <c r="L403" s="37"/>
      <c r="M403" s="37"/>
      <c r="N403" s="37"/>
    </row>
    <row r="404" spans="8:14" x14ac:dyDescent="0.2">
      <c r="H404" s="37"/>
      <c r="I404" s="37"/>
      <c r="J404" s="37"/>
      <c r="K404" s="37"/>
      <c r="L404" s="37"/>
      <c r="M404" s="37"/>
      <c r="N404" s="37"/>
    </row>
    <row r="405" spans="8:14" x14ac:dyDescent="0.2">
      <c r="H405" s="37"/>
      <c r="I405" s="37"/>
      <c r="J405" s="37"/>
      <c r="K405" s="37"/>
      <c r="L405" s="37"/>
      <c r="M405" s="37"/>
      <c r="N405" s="37"/>
    </row>
    <row r="406" spans="8:14" x14ac:dyDescent="0.2">
      <c r="H406" s="37"/>
      <c r="I406" s="37"/>
      <c r="J406" s="37"/>
      <c r="K406" s="37"/>
      <c r="L406" s="37"/>
      <c r="M406" s="37"/>
      <c r="N406" s="37"/>
    </row>
    <row r="407" spans="8:14" x14ac:dyDescent="0.2">
      <c r="H407" s="37"/>
      <c r="I407" s="37"/>
      <c r="J407" s="37"/>
      <c r="K407" s="37"/>
      <c r="L407" s="37"/>
      <c r="M407" s="37"/>
      <c r="N407" s="37"/>
    </row>
    <row r="408" spans="8:14" x14ac:dyDescent="0.2">
      <c r="H408" s="37"/>
      <c r="I408" s="37"/>
      <c r="J408" s="37"/>
      <c r="K408" s="37"/>
      <c r="L408" s="37"/>
      <c r="M408" s="37"/>
      <c r="N408" s="37"/>
    </row>
    <row r="409" spans="8:14" x14ac:dyDescent="0.2">
      <c r="H409" s="37"/>
      <c r="I409" s="37"/>
      <c r="J409" s="37"/>
      <c r="K409" s="37"/>
      <c r="L409" s="37"/>
      <c r="M409" s="37"/>
      <c r="N409" s="37"/>
    </row>
    <row r="410" spans="8:14" x14ac:dyDescent="0.2">
      <c r="H410" s="37"/>
      <c r="I410" s="37"/>
      <c r="J410" s="37"/>
      <c r="K410" s="37"/>
      <c r="L410" s="37"/>
      <c r="M410" s="37"/>
      <c r="N410" s="37"/>
    </row>
    <row r="411" spans="8:14" x14ac:dyDescent="0.2">
      <c r="H411" s="37"/>
      <c r="I411" s="37"/>
      <c r="J411" s="37"/>
      <c r="K411" s="37"/>
      <c r="L411" s="37"/>
      <c r="M411" s="37"/>
      <c r="N411" s="37"/>
    </row>
    <row r="412" spans="8:14" x14ac:dyDescent="0.2">
      <c r="H412" s="37"/>
      <c r="I412" s="37"/>
      <c r="J412" s="37"/>
      <c r="K412" s="37"/>
      <c r="L412" s="37"/>
      <c r="M412" s="37"/>
      <c r="N412" s="37"/>
    </row>
    <row r="413" spans="8:14" x14ac:dyDescent="0.2">
      <c r="H413" s="37"/>
      <c r="I413" s="37"/>
      <c r="J413" s="37"/>
      <c r="K413" s="37"/>
      <c r="L413" s="37"/>
      <c r="M413" s="37"/>
      <c r="N413" s="37"/>
    </row>
    <row r="414" spans="8:14" x14ac:dyDescent="0.2">
      <c r="H414" s="37"/>
      <c r="I414" s="37"/>
      <c r="J414" s="37"/>
      <c r="K414" s="37"/>
      <c r="L414" s="37"/>
      <c r="M414" s="37"/>
      <c r="N414" s="37"/>
    </row>
    <row r="415" spans="8:14" x14ac:dyDescent="0.2">
      <c r="H415" s="37"/>
      <c r="I415" s="37"/>
      <c r="J415" s="37"/>
      <c r="K415" s="37"/>
      <c r="L415" s="37"/>
      <c r="M415" s="37"/>
      <c r="N415" s="37"/>
    </row>
    <row r="416" spans="8:14" x14ac:dyDescent="0.2">
      <c r="H416" s="37"/>
      <c r="I416" s="37"/>
      <c r="J416" s="37"/>
      <c r="K416" s="37"/>
      <c r="L416" s="37"/>
      <c r="M416" s="37"/>
      <c r="N416" s="37"/>
    </row>
    <row r="417" spans="8:14" x14ac:dyDescent="0.2">
      <c r="H417" s="37"/>
      <c r="I417" s="37"/>
      <c r="J417" s="37"/>
      <c r="K417" s="37"/>
      <c r="L417" s="37"/>
      <c r="M417" s="37"/>
      <c r="N417" s="37"/>
    </row>
    <row r="418" spans="8:14" x14ac:dyDescent="0.2">
      <c r="H418" s="37"/>
      <c r="I418" s="37"/>
      <c r="J418" s="37"/>
      <c r="K418" s="37"/>
      <c r="L418" s="37"/>
      <c r="M418" s="37"/>
      <c r="N418" s="37"/>
    </row>
    <row r="419" spans="8:14" x14ac:dyDescent="0.2">
      <c r="H419" s="37"/>
      <c r="I419" s="37"/>
      <c r="J419" s="37"/>
      <c r="K419" s="37"/>
      <c r="L419" s="37"/>
      <c r="M419" s="37"/>
      <c r="N419" s="37"/>
    </row>
  </sheetData>
  <sheetProtection algorithmName="SHA-512" hashValue="b36qTWsFUepV0Giq/zCGYFJg94IVb2E9Nfft+7kNrfstGYZOP8FtI+m6TdL92SvqNeTln5B2x7gsxGY8U1VSKA==" saltValue="H8c4z+4JABO4b9KxXR4fzw==" spinCount="100000" sheet="1" objects="1" scenarios="1"/>
  <mergeCells count="16">
    <mergeCell ref="Z15:AA15"/>
    <mergeCell ref="Z13:AA13"/>
    <mergeCell ref="B27:D27"/>
    <mergeCell ref="B19:D19"/>
    <mergeCell ref="B25:C25"/>
    <mergeCell ref="B20:C20"/>
    <mergeCell ref="B21:C21"/>
    <mergeCell ref="B22:C22"/>
    <mergeCell ref="B23:C23"/>
    <mergeCell ref="B24:C24"/>
    <mergeCell ref="H6:N6"/>
    <mergeCell ref="B2:D2"/>
    <mergeCell ref="B13:D13"/>
    <mergeCell ref="B15:C15"/>
    <mergeCell ref="B16:C16"/>
    <mergeCell ref="B14:C14"/>
  </mergeCells>
  <dataValidations disablePrompts="1" count="1">
    <dataValidation allowBlank="1" showInputMessage="1" showErrorMessage="1" error="ERROR" sqref="C4" xr:uid="{00000000-0002-0000-0100-000000000000}"/>
  </dataValidations>
  <pageMargins left="0.7" right="0.7" top="0.75" bottom="0.75" header="0.3" footer="0.3"/>
  <pageSetup orientation="portrait" r:id="rId1"/>
  <headerFooter>
    <oddHeader xml:space="preserve">&amp;CContract Number: </oddHeader>
    <oddFooter xml:space="preserve">&amp;L&amp;"Arial"&amp;12Contract Number: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568"/>
  <sheetViews>
    <sheetView zoomScale="58" zoomScaleNormal="60" zoomScaleSheetLayoutView="40" zoomScalePageLayoutView="25" workbookViewId="0">
      <selection activeCell="C99" sqref="C99:D99"/>
    </sheetView>
  </sheetViews>
  <sheetFormatPr defaultColWidth="9.140625" defaultRowHeight="14.25" x14ac:dyDescent="0.2"/>
  <cols>
    <col min="1" max="1" width="3.85546875" style="10" customWidth="1"/>
    <col min="2" max="2" width="11" style="10" customWidth="1"/>
    <col min="3" max="3" width="75.7109375" style="10" customWidth="1"/>
    <col min="4" max="4" width="46.42578125" style="10" customWidth="1"/>
    <col min="5" max="5" width="26.28515625" style="10" customWidth="1"/>
    <col min="6" max="6" width="26.28515625" style="67" customWidth="1"/>
    <col min="7" max="8" width="58.7109375" style="10" customWidth="1"/>
    <col min="9" max="9" width="4.5703125" style="10" customWidth="1"/>
    <col min="10" max="12" width="37" style="10" customWidth="1"/>
    <col min="13" max="13" width="19.42578125" style="10" customWidth="1"/>
    <col min="14" max="16384" width="9.140625" style="10"/>
  </cols>
  <sheetData>
    <row r="1" spans="2:16" x14ac:dyDescent="0.2">
      <c r="B1" s="40" t="s">
        <v>62</v>
      </c>
      <c r="C1" s="44"/>
      <c r="D1" s="44"/>
      <c r="E1" s="44"/>
      <c r="F1" s="72"/>
      <c r="G1" s="44"/>
      <c r="H1" s="44"/>
      <c r="I1" s="118"/>
      <c r="J1" s="118"/>
      <c r="K1" s="118"/>
      <c r="L1" s="118"/>
      <c r="M1" s="118"/>
      <c r="N1" s="44"/>
      <c r="O1" s="44"/>
      <c r="P1" s="44"/>
    </row>
    <row r="2" spans="2:16" x14ac:dyDescent="0.2">
      <c r="B2" s="44"/>
      <c r="C2" s="44"/>
      <c r="D2" s="44"/>
      <c r="E2" s="44"/>
      <c r="F2" s="72"/>
      <c r="G2" s="44"/>
      <c r="H2" s="44"/>
      <c r="I2" s="118"/>
      <c r="J2" s="118"/>
      <c r="K2" s="118"/>
      <c r="L2" s="118"/>
      <c r="M2" s="118"/>
      <c r="N2" s="44"/>
      <c r="O2" s="44"/>
      <c r="P2" s="44"/>
    </row>
    <row r="3" spans="2:16" ht="30.75" customHeight="1" x14ac:dyDescent="0.4">
      <c r="B3" s="13"/>
      <c r="C3" s="44"/>
      <c r="D3" s="44"/>
      <c r="E3" s="44"/>
      <c r="F3" s="72"/>
      <c r="G3" s="15"/>
      <c r="H3" s="44"/>
      <c r="I3" s="118"/>
      <c r="J3" s="118"/>
      <c r="K3" s="118"/>
      <c r="L3" s="118"/>
      <c r="M3" s="118"/>
      <c r="N3" s="44"/>
      <c r="O3" s="44"/>
      <c r="P3" s="44"/>
    </row>
    <row r="4" spans="2:16" x14ac:dyDescent="0.2">
      <c r="B4" s="44"/>
      <c r="C4" s="44"/>
      <c r="D4" s="44"/>
      <c r="E4" s="44"/>
      <c r="F4" s="72"/>
      <c r="G4" s="44"/>
      <c r="H4" s="44"/>
      <c r="I4" s="118"/>
      <c r="J4" s="118"/>
      <c r="K4" s="118"/>
      <c r="L4" s="118"/>
      <c r="M4" s="118"/>
      <c r="N4" s="44"/>
      <c r="O4" s="44"/>
      <c r="P4" s="44"/>
    </row>
    <row r="5" spans="2:16" x14ac:dyDescent="0.2">
      <c r="B5" s="44"/>
      <c r="C5" s="44"/>
      <c r="D5" s="44"/>
      <c r="E5" s="44"/>
      <c r="F5" s="72"/>
      <c r="G5" s="44"/>
      <c r="H5" s="44"/>
      <c r="I5" s="118"/>
      <c r="J5" s="118"/>
      <c r="K5" s="118"/>
      <c r="L5" s="118"/>
      <c r="M5" s="118"/>
      <c r="N5" s="44"/>
      <c r="O5" s="44"/>
      <c r="P5" s="44"/>
    </row>
    <row r="6" spans="2:16" x14ac:dyDescent="0.2">
      <c r="B6" s="44"/>
      <c r="C6" s="44"/>
      <c r="D6" s="44"/>
      <c r="E6" s="44"/>
      <c r="F6" s="72"/>
      <c r="G6" s="44"/>
      <c r="H6" s="44"/>
      <c r="I6" s="118"/>
      <c r="J6" s="118"/>
      <c r="K6" s="118"/>
      <c r="L6" s="118"/>
      <c r="M6" s="118"/>
      <c r="N6" s="44"/>
      <c r="O6" s="44"/>
      <c r="P6" s="44"/>
    </row>
    <row r="7" spans="2:16" x14ac:dyDescent="0.2">
      <c r="B7" s="44"/>
      <c r="C7" s="44"/>
      <c r="D7" s="44"/>
      <c r="E7" s="44"/>
      <c r="F7" s="72"/>
      <c r="G7" s="44"/>
      <c r="H7" s="44"/>
      <c r="I7" s="118"/>
      <c r="J7" s="118"/>
      <c r="K7" s="118"/>
      <c r="L7" s="118"/>
      <c r="M7" s="118"/>
      <c r="N7" s="44"/>
      <c r="O7" s="44"/>
      <c r="P7" s="44"/>
    </row>
    <row r="8" spans="2:16" x14ac:dyDescent="0.2">
      <c r="B8" s="44"/>
      <c r="C8" s="44"/>
      <c r="D8" s="44"/>
      <c r="E8" s="44"/>
      <c r="F8" s="72"/>
      <c r="G8" s="44"/>
      <c r="H8" s="44"/>
      <c r="I8" s="118"/>
      <c r="J8" s="118"/>
      <c r="K8" s="118"/>
      <c r="L8" s="118"/>
      <c r="M8" s="118"/>
      <c r="N8" s="44"/>
      <c r="O8" s="44"/>
      <c r="P8" s="44"/>
    </row>
    <row r="9" spans="2:16" x14ac:dyDescent="0.2">
      <c r="B9" s="44"/>
      <c r="C9" s="44"/>
      <c r="D9" s="44"/>
      <c r="E9" s="44"/>
      <c r="F9" s="72"/>
      <c r="G9" s="44"/>
      <c r="H9" s="44"/>
      <c r="I9" s="118"/>
      <c r="J9" s="118"/>
      <c r="K9" s="118"/>
      <c r="L9" s="118"/>
      <c r="M9" s="118"/>
      <c r="N9" s="44"/>
      <c r="O9" s="44"/>
      <c r="P9" s="44"/>
    </row>
    <row r="10" spans="2:16" ht="26.25" x14ac:dyDescent="0.4">
      <c r="B10" s="44"/>
      <c r="C10" s="44"/>
      <c r="D10" s="44"/>
      <c r="E10" s="44"/>
      <c r="F10" s="72"/>
      <c r="G10" s="44"/>
      <c r="H10" s="44"/>
      <c r="I10" s="118"/>
      <c r="J10" s="264"/>
      <c r="K10" s="264"/>
      <c r="L10" s="264"/>
      <c r="M10" s="118"/>
      <c r="N10" s="44"/>
      <c r="O10" s="44"/>
      <c r="P10" s="44"/>
    </row>
    <row r="11" spans="2:16" x14ac:dyDescent="0.2">
      <c r="B11" s="44"/>
      <c r="C11" s="44"/>
      <c r="D11" s="44"/>
      <c r="E11" s="44"/>
      <c r="F11" s="72"/>
      <c r="G11" s="44"/>
      <c r="H11" s="44"/>
      <c r="I11" s="44"/>
      <c r="J11" s="119"/>
      <c r="K11" s="119"/>
      <c r="L11" s="119"/>
      <c r="M11" s="119"/>
      <c r="N11" s="118"/>
      <c r="O11" s="118"/>
      <c r="P11" s="118"/>
    </row>
    <row r="12" spans="2:16" x14ac:dyDescent="0.2">
      <c r="B12" s="44"/>
      <c r="C12" s="44"/>
      <c r="D12" s="44"/>
      <c r="E12" s="44"/>
      <c r="F12" s="72"/>
      <c r="G12" s="44"/>
      <c r="H12" s="44"/>
      <c r="I12" s="44"/>
      <c r="J12" s="119"/>
      <c r="K12" s="119"/>
      <c r="L12" s="119"/>
      <c r="M12" s="119"/>
      <c r="N12" s="118"/>
      <c r="O12" s="118"/>
      <c r="P12" s="118"/>
    </row>
    <row r="13" spans="2:16" x14ac:dyDescent="0.2">
      <c r="B13" s="44"/>
      <c r="C13" s="44"/>
      <c r="D13" s="44"/>
      <c r="E13" s="44"/>
      <c r="F13" s="72"/>
      <c r="G13" s="44"/>
      <c r="H13" s="44"/>
      <c r="I13" s="44"/>
      <c r="J13" s="119"/>
      <c r="K13" s="119"/>
      <c r="L13" s="119"/>
      <c r="M13" s="119"/>
      <c r="N13" s="118"/>
      <c r="O13" s="118"/>
      <c r="P13" s="118"/>
    </row>
    <row r="14" spans="2:16" x14ac:dyDescent="0.2">
      <c r="B14" s="44"/>
      <c r="C14" s="44"/>
      <c r="D14" s="44"/>
      <c r="E14" s="44"/>
      <c r="F14" s="72"/>
      <c r="G14" s="44"/>
      <c r="H14" s="44"/>
      <c r="I14" s="44"/>
      <c r="J14" s="119"/>
      <c r="K14" s="119"/>
      <c r="L14" s="119"/>
      <c r="M14" s="119"/>
      <c r="N14" s="118"/>
      <c r="O14" s="118"/>
      <c r="P14" s="118"/>
    </row>
    <row r="15" spans="2:16" x14ac:dyDescent="0.2">
      <c r="B15" s="44"/>
      <c r="C15" s="44"/>
      <c r="D15" s="44"/>
      <c r="E15" s="44"/>
      <c r="F15" s="72"/>
      <c r="G15" s="44"/>
      <c r="H15" s="44"/>
      <c r="I15" s="44"/>
      <c r="J15" s="119"/>
      <c r="K15" s="119"/>
      <c r="L15" s="119"/>
      <c r="M15" s="119"/>
      <c r="N15" s="118"/>
      <c r="O15" s="118"/>
      <c r="P15" s="118"/>
    </row>
    <row r="16" spans="2:16" x14ac:dyDescent="0.2">
      <c r="B16" s="44"/>
      <c r="C16" s="44"/>
      <c r="D16" s="44"/>
      <c r="E16" s="44"/>
      <c r="F16" s="72"/>
      <c r="G16" s="44"/>
      <c r="H16" s="44"/>
      <c r="I16" s="44"/>
      <c r="J16" s="119"/>
      <c r="K16" s="119"/>
      <c r="L16" s="119"/>
      <c r="M16" s="119"/>
      <c r="N16" s="118"/>
      <c r="O16" s="118"/>
      <c r="P16" s="118"/>
    </row>
    <row r="17" spans="2:16" ht="43.5" customHeight="1" x14ac:dyDescent="0.2">
      <c r="B17" s="44"/>
      <c r="C17" s="44"/>
      <c r="D17" s="44"/>
      <c r="E17" s="44"/>
      <c r="F17" s="72"/>
      <c r="G17" s="44"/>
      <c r="H17" s="44"/>
      <c r="I17" s="44"/>
      <c r="J17" s="119"/>
      <c r="K17" s="119"/>
      <c r="L17" s="119"/>
      <c r="M17" s="119"/>
      <c r="N17" s="118"/>
      <c r="O17" s="118"/>
      <c r="P17" s="118"/>
    </row>
    <row r="18" spans="2:16" ht="27.75" x14ac:dyDescent="0.4">
      <c r="B18" s="196" t="str">
        <f ca="1">RIGHT(CELL("filename",A1),LEN(CELL("filename",A1))-FIND("]",CELL("filename",A1)))</f>
        <v>Monthly</v>
      </c>
      <c r="C18" s="196"/>
      <c r="D18" s="196"/>
      <c r="E18" s="196"/>
      <c r="F18" s="196"/>
      <c r="G18" s="196"/>
      <c r="H18" s="196"/>
      <c r="I18" s="44"/>
      <c r="J18" s="119"/>
      <c r="K18" s="119"/>
      <c r="L18" s="119"/>
      <c r="M18" s="119"/>
      <c r="N18" s="118"/>
      <c r="O18" s="118"/>
      <c r="P18" s="118"/>
    </row>
    <row r="19" spans="2:16" ht="26.25" x14ac:dyDescent="0.4">
      <c r="B19" s="44"/>
      <c r="C19" s="1"/>
      <c r="D19" s="44"/>
      <c r="E19" s="44"/>
      <c r="F19" s="72"/>
      <c r="G19" s="44"/>
      <c r="H19" s="45" t="str">
        <f>IF(ISBLANK(AgreementNumber),"",AgreementNumber)</f>
        <v/>
      </c>
      <c r="I19" s="44"/>
      <c r="J19" s="119"/>
      <c r="K19" s="119"/>
      <c r="L19" s="119"/>
      <c r="M19" s="119"/>
      <c r="N19" s="118"/>
      <c r="O19" s="118"/>
      <c r="P19" s="118"/>
    </row>
    <row r="20" spans="2:16" ht="15" thickBot="1" x14ac:dyDescent="0.25">
      <c r="B20" s="44"/>
      <c r="C20" s="44"/>
      <c r="D20" s="44"/>
      <c r="E20" s="44"/>
      <c r="F20" s="72"/>
      <c r="G20" s="44"/>
      <c r="H20" s="44"/>
      <c r="I20" s="44"/>
      <c r="J20" s="119"/>
      <c r="K20" s="119"/>
      <c r="L20" s="119"/>
      <c r="M20" s="119"/>
      <c r="N20" s="118"/>
      <c r="O20" s="118"/>
      <c r="P20" s="118"/>
    </row>
    <row r="21" spans="2:16" ht="23.25" x14ac:dyDescent="0.35">
      <c r="B21" s="215" t="s">
        <v>63</v>
      </c>
      <c r="C21" s="216"/>
      <c r="D21" s="216"/>
      <c r="E21" s="216"/>
      <c r="F21" s="216"/>
      <c r="G21" s="216"/>
      <c r="H21" s="217"/>
      <c r="I21" s="44"/>
      <c r="J21" s="119"/>
      <c r="K21" s="119"/>
      <c r="L21" s="119"/>
      <c r="M21" s="119"/>
      <c r="N21" s="118"/>
      <c r="O21" s="118"/>
      <c r="P21" s="118"/>
    </row>
    <row r="22" spans="2:16" ht="31.5" x14ac:dyDescent="0.2">
      <c r="B22" s="239" t="s">
        <v>64</v>
      </c>
      <c r="C22" s="240"/>
      <c r="D22" s="241"/>
      <c r="E22" s="7" t="s">
        <v>29</v>
      </c>
      <c r="F22" s="7"/>
      <c r="G22" s="7" t="s">
        <v>65</v>
      </c>
      <c r="H22" s="8" t="s">
        <v>66</v>
      </c>
      <c r="I22" s="44"/>
      <c r="J22" s="119"/>
      <c r="K22" s="119"/>
      <c r="L22" s="119"/>
      <c r="M22" s="119"/>
      <c r="N22" s="118"/>
      <c r="O22" s="118"/>
      <c r="P22" s="118"/>
    </row>
    <row r="23" spans="2:16" ht="81" customHeight="1" x14ac:dyDescent="0.2">
      <c r="B23" s="9">
        <v>1</v>
      </c>
      <c r="C23" s="213" t="s">
        <v>67</v>
      </c>
      <c r="D23" s="214"/>
      <c r="E23" s="12" t="str">
        <f>F119</f>
        <v>No Rating Selected</v>
      </c>
      <c r="F23" s="12" t="str">
        <f t="shared" ref="F23:F28" si="0">IF(E23 = "No Rating Selected", "No Rating Selected",  IF(E23 = 1, "Did not meet CCAA requirements", IF(E23 = 3, "Substantially met CCAA requirements",  IF(E23 = 5, "Exceeded CCAA requirements", "N/A"   )   )   )  )</f>
        <v>No Rating Selected</v>
      </c>
      <c r="G23" s="12"/>
      <c r="H23" s="11"/>
      <c r="I23" s="44"/>
      <c r="J23" s="119"/>
      <c r="K23" s="119"/>
      <c r="L23" s="119"/>
      <c r="M23" s="119"/>
      <c r="N23" s="118"/>
      <c r="O23" s="118"/>
      <c r="P23" s="118"/>
    </row>
    <row r="24" spans="2:16" ht="60.75" customHeight="1" x14ac:dyDescent="0.2">
      <c r="B24" s="9">
        <v>2</v>
      </c>
      <c r="C24" s="213" t="s">
        <v>68</v>
      </c>
      <c r="D24" s="214"/>
      <c r="E24" s="12" t="str">
        <f>F128</f>
        <v>No Rating Selected</v>
      </c>
      <c r="F24" s="12" t="str">
        <f t="shared" si="0"/>
        <v>No Rating Selected</v>
      </c>
      <c r="G24" s="12"/>
      <c r="H24" s="11"/>
      <c r="I24" s="44"/>
      <c r="J24" s="119"/>
      <c r="K24" s="119"/>
      <c r="L24" s="119"/>
      <c r="M24" s="119"/>
      <c r="N24" s="118"/>
      <c r="O24" s="118"/>
      <c r="P24" s="118"/>
    </row>
    <row r="25" spans="2:16" ht="72.2" customHeight="1" x14ac:dyDescent="0.2">
      <c r="B25" s="9">
        <v>3</v>
      </c>
      <c r="C25" s="213" t="s">
        <v>69</v>
      </c>
      <c r="D25" s="214"/>
      <c r="E25" s="12" t="str">
        <f>F137</f>
        <v>No Rating Selected</v>
      </c>
      <c r="F25" s="12" t="str">
        <f t="shared" si="0"/>
        <v>No Rating Selected</v>
      </c>
      <c r="G25" s="12"/>
      <c r="H25" s="11"/>
      <c r="I25" s="44"/>
      <c r="J25" s="119"/>
      <c r="K25" s="119"/>
      <c r="L25" s="119"/>
      <c r="M25" s="119"/>
      <c r="N25" s="118"/>
      <c r="O25" s="118"/>
      <c r="P25" s="118"/>
    </row>
    <row r="26" spans="2:16" ht="54.75" customHeight="1" x14ac:dyDescent="0.2">
      <c r="B26" s="9">
        <v>4</v>
      </c>
      <c r="C26" s="213" t="s">
        <v>70</v>
      </c>
      <c r="D26" s="214"/>
      <c r="E26" s="12" t="str">
        <f>F146</f>
        <v>No Rating Selected</v>
      </c>
      <c r="F26" s="12" t="str">
        <f t="shared" si="0"/>
        <v>No Rating Selected</v>
      </c>
      <c r="G26" s="12"/>
      <c r="H26" s="11"/>
      <c r="I26" s="44"/>
      <c r="J26" s="119"/>
      <c r="K26" s="119"/>
      <c r="L26" s="119"/>
      <c r="M26" s="119"/>
      <c r="N26" s="118"/>
      <c r="O26" s="118"/>
      <c r="P26" s="118"/>
    </row>
    <row r="27" spans="2:16" ht="72.2" customHeight="1" thickBot="1" x14ac:dyDescent="0.25">
      <c r="B27" s="9">
        <v>5</v>
      </c>
      <c r="C27" s="213" t="s">
        <v>71</v>
      </c>
      <c r="D27" s="214"/>
      <c r="E27" s="12" t="str">
        <f>F155</f>
        <v>No Rating Selected</v>
      </c>
      <c r="F27" s="12" t="str">
        <f t="shared" si="0"/>
        <v>No Rating Selected</v>
      </c>
      <c r="G27" s="73"/>
      <c r="H27" s="74"/>
      <c r="I27" s="44"/>
      <c r="J27" s="119"/>
      <c r="K27" s="119"/>
      <c r="L27" s="119"/>
      <c r="M27" s="119"/>
      <c r="N27" s="118"/>
      <c r="O27" s="118"/>
      <c r="P27" s="118"/>
    </row>
    <row r="28" spans="2:16" ht="72.2" hidden="1" customHeight="1" x14ac:dyDescent="0.2">
      <c r="B28" s="9">
        <v>6</v>
      </c>
      <c r="C28" s="213"/>
      <c r="D28" s="214"/>
      <c r="E28" s="12" t="str">
        <f>F164</f>
        <v>IF(COUNTIF(K184:K187,FALSE)=4,"No Rating Selected",IF(L187="N/A","N/A",SUM(L184:L186)))</v>
      </c>
      <c r="F28" s="12" t="str">
        <f t="shared" si="0"/>
        <v>N/A</v>
      </c>
      <c r="G28" s="73"/>
      <c r="H28" s="74"/>
      <c r="I28" s="44"/>
      <c r="J28" s="119"/>
      <c r="K28" s="119"/>
      <c r="L28" s="119"/>
      <c r="M28" s="119"/>
      <c r="N28" s="118"/>
      <c r="O28" s="118"/>
      <c r="P28" s="118"/>
    </row>
    <row r="29" spans="2:16" hidden="1" x14ac:dyDescent="0.2">
      <c r="B29" s="218" t="s">
        <v>72</v>
      </c>
      <c r="C29" s="219"/>
      <c r="D29" s="205" t="s">
        <v>73</v>
      </c>
      <c r="E29" s="199">
        <f>IF(C_Total_Weight&lt;&gt;100,"ERROR",C_1_Weight)</f>
        <v>15</v>
      </c>
      <c r="F29" s="200"/>
      <c r="G29" s="200"/>
      <c r="H29" s="201"/>
      <c r="I29" s="44"/>
      <c r="J29" s="119"/>
      <c r="K29" s="119"/>
      <c r="L29" s="119"/>
      <c r="M29" s="119"/>
      <c r="N29" s="118"/>
      <c r="O29" s="118"/>
      <c r="P29" s="118"/>
    </row>
    <row r="30" spans="2:16" hidden="1" x14ac:dyDescent="0.2">
      <c r="B30" s="218"/>
      <c r="C30" s="219"/>
      <c r="D30" s="221"/>
      <c r="E30" s="202"/>
      <c r="F30" s="203"/>
      <c r="G30" s="203"/>
      <c r="H30" s="204"/>
      <c r="I30" s="44"/>
      <c r="J30" s="119"/>
      <c r="K30" s="119"/>
      <c r="L30" s="119"/>
      <c r="M30" s="119"/>
      <c r="N30" s="118"/>
      <c r="O30" s="118"/>
      <c r="P30" s="118"/>
    </row>
    <row r="31" spans="2:16" hidden="1" x14ac:dyDescent="0.2">
      <c r="B31" s="218"/>
      <c r="C31" s="219"/>
      <c r="D31" s="205" t="s">
        <v>74</v>
      </c>
      <c r="E31" s="207" t="str">
        <f>IFERROR(IF(E29="ERROR","ERROR",IF(COUNTIF(E23:E27,"No Rating Selected") &gt; 0,"Not Yet Rated",((SUM(E23:E27)/F169)*E29)/E29)), "N/A")</f>
        <v>Not Yet Rated</v>
      </c>
      <c r="F31" s="208"/>
      <c r="G31" s="208"/>
      <c r="H31" s="209"/>
      <c r="I31" s="44"/>
      <c r="J31" s="119"/>
      <c r="K31" s="119"/>
      <c r="L31" s="119"/>
      <c r="M31" s="119"/>
      <c r="N31" s="118"/>
      <c r="O31" s="118"/>
      <c r="P31" s="118"/>
    </row>
    <row r="32" spans="2:16" ht="15" hidden="1" thickBot="1" x14ac:dyDescent="0.25">
      <c r="B32" s="247"/>
      <c r="C32" s="232"/>
      <c r="D32" s="206"/>
      <c r="E32" s="210"/>
      <c r="F32" s="211"/>
      <c r="G32" s="211"/>
      <c r="H32" s="212"/>
      <c r="I32" s="44"/>
      <c r="J32" s="119"/>
      <c r="K32" s="119"/>
      <c r="L32" s="119"/>
      <c r="M32" s="119"/>
      <c r="N32" s="118"/>
      <c r="O32" s="118"/>
      <c r="P32" s="118"/>
    </row>
    <row r="33" spans="2:16" ht="23.25" x14ac:dyDescent="0.35">
      <c r="B33" s="215" t="s">
        <v>75</v>
      </c>
      <c r="C33" s="216"/>
      <c r="D33" s="216"/>
      <c r="E33" s="216"/>
      <c r="F33" s="216"/>
      <c r="G33" s="216"/>
      <c r="H33" s="217"/>
      <c r="I33" s="44"/>
      <c r="J33" s="119"/>
      <c r="K33" s="119"/>
      <c r="L33" s="119"/>
      <c r="M33" s="119"/>
      <c r="N33" s="118"/>
      <c r="O33" s="118"/>
      <c r="P33" s="118"/>
    </row>
    <row r="34" spans="2:16" ht="31.5" x14ac:dyDescent="0.2">
      <c r="B34" s="239" t="s">
        <v>64</v>
      </c>
      <c r="C34" s="240"/>
      <c r="D34" s="241"/>
      <c r="E34" s="7" t="s">
        <v>29</v>
      </c>
      <c r="F34" s="7"/>
      <c r="G34" s="7" t="s">
        <v>65</v>
      </c>
      <c r="H34" s="8" t="s">
        <v>66</v>
      </c>
      <c r="I34" s="44"/>
      <c r="J34" s="119"/>
      <c r="K34" s="119"/>
      <c r="L34" s="119"/>
      <c r="M34" s="119"/>
      <c r="N34" s="118"/>
      <c r="O34" s="118"/>
      <c r="P34" s="118"/>
    </row>
    <row r="35" spans="2:16" ht="99.75" customHeight="1" x14ac:dyDescent="0.2">
      <c r="B35" s="3">
        <v>1</v>
      </c>
      <c r="C35" s="213" t="s">
        <v>76</v>
      </c>
      <c r="D35" s="214"/>
      <c r="E35" s="12" t="str">
        <f>F178</f>
        <v>No Rating Selected</v>
      </c>
      <c r="F35" s="12" t="str">
        <f t="shared" ref="F35:F40" si="1">IF(E35 = "No Rating Selected", "No Rating Selected",  IF(E35 = 1, "Did not meet CCAA requirements", IF(E35 = 3, "Substantially met CCAA requirements",  IF(E35 = 5, "Exceeded CCAA requirements", "N/A"   )   )   )  )</f>
        <v>No Rating Selected</v>
      </c>
      <c r="G35" s="12"/>
      <c r="H35" s="11"/>
      <c r="I35" s="44"/>
      <c r="J35" s="119"/>
      <c r="K35" s="119"/>
      <c r="L35" s="119"/>
      <c r="M35" s="119"/>
      <c r="N35" s="118"/>
      <c r="O35" s="118"/>
      <c r="P35" s="118"/>
    </row>
    <row r="36" spans="2:16" ht="72.2" hidden="1" customHeight="1" x14ac:dyDescent="0.2">
      <c r="B36" s="2">
        <v>2</v>
      </c>
      <c r="C36" s="242"/>
      <c r="D36" s="243"/>
      <c r="E36" s="12"/>
      <c r="F36" s="12"/>
      <c r="G36" s="12"/>
      <c r="H36" s="11"/>
      <c r="I36" s="44"/>
      <c r="J36" s="119"/>
      <c r="K36" s="119"/>
      <c r="L36" s="119"/>
      <c r="M36" s="119"/>
      <c r="N36" s="118"/>
      <c r="O36" s="118"/>
      <c r="P36" s="118"/>
    </row>
    <row r="37" spans="2:16" ht="86.25" customHeight="1" x14ac:dyDescent="0.2">
      <c r="B37" s="2">
        <v>2</v>
      </c>
      <c r="C37" s="242" t="s">
        <v>77</v>
      </c>
      <c r="D37" s="243"/>
      <c r="E37" s="12" t="str">
        <f>F187</f>
        <v>No Rating Selected</v>
      </c>
      <c r="F37" s="12" t="str">
        <f t="shared" si="1"/>
        <v>No Rating Selected</v>
      </c>
      <c r="G37" s="12"/>
      <c r="H37" s="11"/>
      <c r="I37" s="44"/>
      <c r="J37" s="119"/>
      <c r="K37" s="119"/>
      <c r="L37" s="119"/>
      <c r="M37" s="119"/>
      <c r="N37" s="118"/>
      <c r="O37" s="118"/>
      <c r="P37" s="118"/>
    </row>
    <row r="38" spans="2:16" ht="57" customHeight="1" x14ac:dyDescent="0.2">
      <c r="B38" s="2">
        <v>3</v>
      </c>
      <c r="C38" s="242" t="s">
        <v>78</v>
      </c>
      <c r="D38" s="243"/>
      <c r="E38" s="12" t="str">
        <f>F196</f>
        <v>No Rating Selected</v>
      </c>
      <c r="F38" s="12" t="str">
        <f t="shared" si="1"/>
        <v>No Rating Selected</v>
      </c>
      <c r="G38" s="12"/>
      <c r="H38" s="11"/>
      <c r="I38" s="44"/>
      <c r="J38" s="119"/>
      <c r="K38" s="119"/>
      <c r="L38" s="119"/>
      <c r="M38" s="119"/>
      <c r="N38" s="118"/>
      <c r="O38" s="118"/>
      <c r="P38" s="118"/>
    </row>
    <row r="39" spans="2:16" ht="84" customHeight="1" x14ac:dyDescent="0.2">
      <c r="B39" s="2">
        <v>4</v>
      </c>
      <c r="C39" s="242" t="s">
        <v>79</v>
      </c>
      <c r="D39" s="243"/>
      <c r="E39" s="41" t="str">
        <f>F205</f>
        <v>No Rating Selected</v>
      </c>
      <c r="F39" s="12" t="str">
        <f t="shared" si="1"/>
        <v>No Rating Selected</v>
      </c>
      <c r="G39" s="41"/>
      <c r="H39" s="14"/>
      <c r="I39" s="44"/>
      <c r="J39" s="119"/>
      <c r="K39" s="119"/>
      <c r="L39" s="119"/>
      <c r="M39" s="119"/>
      <c r="N39" s="118"/>
      <c r="O39" s="118"/>
      <c r="P39" s="118"/>
    </row>
    <row r="40" spans="2:16" ht="79.5" customHeight="1" x14ac:dyDescent="0.2">
      <c r="B40" s="2">
        <v>5</v>
      </c>
      <c r="C40" s="242" t="s">
        <v>80</v>
      </c>
      <c r="D40" s="243"/>
      <c r="E40" s="73" t="str">
        <f>F214</f>
        <v>No Rating Selected</v>
      </c>
      <c r="F40" s="12" t="str">
        <f t="shared" si="1"/>
        <v>No Rating Selected</v>
      </c>
      <c r="G40" s="73"/>
      <c r="H40" s="74"/>
      <c r="I40" s="44"/>
      <c r="J40" s="119"/>
      <c r="K40" s="119"/>
      <c r="L40" s="119"/>
      <c r="M40" s="119"/>
      <c r="N40" s="118"/>
      <c r="O40" s="118"/>
      <c r="P40" s="118"/>
    </row>
    <row r="41" spans="2:16" hidden="1" x14ac:dyDescent="0.2">
      <c r="B41" s="218" t="s">
        <v>72</v>
      </c>
      <c r="C41" s="219"/>
      <c r="D41" s="205" t="s">
        <v>81</v>
      </c>
      <c r="E41" s="199">
        <f>IF(C_Total_Weight&lt;&gt;100,"ERROR",C_2_Weight)</f>
        <v>15</v>
      </c>
      <c r="F41" s="200"/>
      <c r="G41" s="200"/>
      <c r="H41" s="201"/>
      <c r="I41" s="44"/>
      <c r="J41" s="119"/>
      <c r="K41" s="119"/>
      <c r="L41" s="119"/>
      <c r="M41" s="119"/>
      <c r="N41" s="118"/>
      <c r="O41" s="118"/>
      <c r="P41" s="118"/>
    </row>
    <row r="42" spans="2:16" hidden="1" x14ac:dyDescent="0.2">
      <c r="B42" s="218"/>
      <c r="C42" s="219"/>
      <c r="D42" s="221"/>
      <c r="E42" s="202"/>
      <c r="F42" s="203"/>
      <c r="G42" s="203"/>
      <c r="H42" s="204"/>
      <c r="I42" s="44"/>
      <c r="J42" s="119"/>
      <c r="K42" s="119"/>
      <c r="L42" s="119"/>
      <c r="M42" s="119"/>
      <c r="N42" s="118"/>
      <c r="O42" s="118"/>
      <c r="P42" s="118"/>
    </row>
    <row r="43" spans="2:16" ht="14.25" hidden="1" customHeight="1" x14ac:dyDescent="0.2">
      <c r="B43" s="218"/>
      <c r="C43" s="219"/>
      <c r="D43" s="205" t="s">
        <v>74</v>
      </c>
      <c r="E43" s="207" t="str">
        <f>IFERROR(IF(E41="ERROR","ERROR",IF(COUNTIF(E35:E40,"No Rating Selected") &gt; 0,"Not Yet Rated",((SUM(E35:E40)/F228)*E41)/E41)), "N/A")</f>
        <v>Not Yet Rated</v>
      </c>
      <c r="F43" s="208"/>
      <c r="G43" s="208"/>
      <c r="H43" s="209"/>
      <c r="I43" s="44"/>
      <c r="J43" s="119"/>
      <c r="K43" s="119"/>
      <c r="L43" s="119"/>
      <c r="M43" s="119"/>
      <c r="N43" s="118"/>
      <c r="O43" s="118"/>
      <c r="P43" s="118"/>
    </row>
    <row r="44" spans="2:16" ht="15" hidden="1" customHeight="1" x14ac:dyDescent="0.2">
      <c r="B44" s="220"/>
      <c r="C44" s="205"/>
      <c r="D44" s="222"/>
      <c r="E44" s="244"/>
      <c r="F44" s="245"/>
      <c r="G44" s="245"/>
      <c r="H44" s="246"/>
      <c r="I44" s="44"/>
      <c r="J44" s="119"/>
      <c r="K44" s="119"/>
      <c r="L44" s="119"/>
      <c r="M44" s="119"/>
      <c r="N44" s="118"/>
      <c r="O44" s="118"/>
      <c r="P44" s="118"/>
    </row>
    <row r="45" spans="2:16" ht="15" customHeight="1" x14ac:dyDescent="0.4">
      <c r="B45" s="46"/>
      <c r="C45" s="46"/>
      <c r="D45" s="46"/>
      <c r="E45" s="47"/>
      <c r="F45" s="68"/>
      <c r="G45" s="47"/>
      <c r="H45" s="48" t="str">
        <f>IF(ISBLANK(AgreementNumber),"",AgreementNumber)</f>
        <v/>
      </c>
      <c r="I45" s="44"/>
      <c r="J45" s="119"/>
      <c r="K45" s="119"/>
      <c r="L45" s="119"/>
      <c r="M45" s="119"/>
      <c r="N45" s="118"/>
      <c r="O45" s="118"/>
      <c r="P45" s="118"/>
    </row>
    <row r="46" spans="2:16" s="1" customFormat="1" ht="23.25" x14ac:dyDescent="0.35">
      <c r="B46" s="223" t="s">
        <v>82</v>
      </c>
      <c r="C46" s="224"/>
      <c r="D46" s="224"/>
      <c r="E46" s="224"/>
      <c r="F46" s="224"/>
      <c r="G46" s="224"/>
      <c r="H46" s="225"/>
      <c r="I46" s="6"/>
      <c r="J46" s="119"/>
      <c r="K46" s="119"/>
      <c r="L46" s="119"/>
      <c r="M46" s="119"/>
      <c r="N46" s="84"/>
      <c r="O46" s="84"/>
      <c r="P46" s="84"/>
    </row>
    <row r="47" spans="2:16" s="1" customFormat="1" ht="31.5" x14ac:dyDescent="0.2">
      <c r="B47" s="239" t="s">
        <v>64</v>
      </c>
      <c r="C47" s="240"/>
      <c r="D47" s="241"/>
      <c r="E47" s="7" t="s">
        <v>29</v>
      </c>
      <c r="F47" s="7"/>
      <c r="G47" s="7" t="s">
        <v>65</v>
      </c>
      <c r="H47" s="8" t="s">
        <v>66</v>
      </c>
      <c r="I47" s="6"/>
      <c r="J47" s="119"/>
      <c r="K47" s="119"/>
      <c r="L47" s="119"/>
      <c r="M47" s="119"/>
      <c r="N47" s="84"/>
      <c r="O47" s="84"/>
      <c r="P47" s="84"/>
    </row>
    <row r="48" spans="2:16" s="1" customFormat="1" ht="72.2" customHeight="1" x14ac:dyDescent="0.2">
      <c r="B48" s="2">
        <v>1</v>
      </c>
      <c r="C48" s="213" t="s">
        <v>83</v>
      </c>
      <c r="D48" s="214"/>
      <c r="E48" s="12" t="str">
        <f>F237</f>
        <v>No Rating Selected</v>
      </c>
      <c r="F48" s="12" t="str">
        <f t="shared" ref="F48:F52" si="2">IF(E48 = "No Rating Selected", "No Rating Selected",  IF(E48 = 1, "Did not meet CCAA requirements", IF(E48 = 3, "Substantially met CCAA requirements",  IF(E48 = 5, "Exceeded CCAA requirements", "N/A"   )   )   )  )</f>
        <v>No Rating Selected</v>
      </c>
      <c r="G48" s="12"/>
      <c r="H48" s="11"/>
      <c r="I48" s="6"/>
      <c r="J48" s="119"/>
      <c r="K48" s="119"/>
      <c r="L48" s="119"/>
      <c r="M48" s="119"/>
      <c r="N48" s="84"/>
      <c r="O48" s="84"/>
      <c r="P48" s="84"/>
    </row>
    <row r="49" spans="2:16" s="1" customFormat="1" ht="114" customHeight="1" x14ac:dyDescent="0.2">
      <c r="B49" s="2">
        <v>2</v>
      </c>
      <c r="C49" s="213" t="s">
        <v>84</v>
      </c>
      <c r="D49" s="214"/>
      <c r="E49" s="12" t="str">
        <f>F246</f>
        <v>No Rating Selected</v>
      </c>
      <c r="F49" s="12" t="str">
        <f t="shared" si="2"/>
        <v>No Rating Selected</v>
      </c>
      <c r="G49" s="12"/>
      <c r="H49" s="11"/>
      <c r="I49" s="6"/>
      <c r="J49" s="119"/>
      <c r="K49" s="119"/>
      <c r="L49" s="119"/>
      <c r="M49" s="119"/>
      <c r="N49" s="84"/>
      <c r="O49" s="84"/>
      <c r="P49" s="84"/>
    </row>
    <row r="50" spans="2:16" s="1" customFormat="1" ht="72.2" customHeight="1" x14ac:dyDescent="0.2">
      <c r="B50" s="2">
        <v>3</v>
      </c>
      <c r="C50" s="213" t="s">
        <v>85</v>
      </c>
      <c r="D50" s="214"/>
      <c r="E50" s="12" t="str">
        <f>F255</f>
        <v>No Rating Selected</v>
      </c>
      <c r="F50" s="12" t="str">
        <f t="shared" si="2"/>
        <v>No Rating Selected</v>
      </c>
      <c r="G50" s="12"/>
      <c r="H50" s="11"/>
      <c r="J50" s="119"/>
      <c r="K50" s="119"/>
      <c r="L50" s="119"/>
      <c r="M50" s="119"/>
      <c r="N50" s="84"/>
      <c r="O50" s="84"/>
      <c r="P50" s="84"/>
    </row>
    <row r="51" spans="2:16" s="1" customFormat="1" ht="56.25" customHeight="1" x14ac:dyDescent="0.2">
      <c r="B51" s="49">
        <v>4</v>
      </c>
      <c r="C51" s="213" t="s">
        <v>86</v>
      </c>
      <c r="D51" s="214"/>
      <c r="E51" s="66" t="str">
        <f>F264</f>
        <v>No Rating Selected</v>
      </c>
      <c r="F51" s="12" t="str">
        <f t="shared" si="2"/>
        <v>No Rating Selected</v>
      </c>
      <c r="G51" s="41"/>
      <c r="H51" s="14"/>
      <c r="J51" s="119"/>
      <c r="K51" s="119"/>
      <c r="L51" s="119"/>
      <c r="M51" s="119"/>
      <c r="N51" s="84"/>
      <c r="O51" s="84"/>
      <c r="P51" s="84"/>
    </row>
    <row r="52" spans="2:16" s="1" customFormat="1" ht="85.5" customHeight="1" thickBot="1" x14ac:dyDescent="0.25">
      <c r="B52" s="49">
        <v>5</v>
      </c>
      <c r="C52" s="213" t="s">
        <v>87</v>
      </c>
      <c r="D52" s="214"/>
      <c r="E52" s="66" t="str">
        <f>F273</f>
        <v>No Rating Selected</v>
      </c>
      <c r="F52" s="12" t="str">
        <f t="shared" si="2"/>
        <v>No Rating Selected</v>
      </c>
      <c r="G52" s="12"/>
      <c r="H52" s="14"/>
      <c r="J52" s="119"/>
      <c r="K52" s="119"/>
      <c r="L52" s="119"/>
      <c r="M52" s="119"/>
      <c r="N52" s="84"/>
      <c r="O52" s="84"/>
      <c r="P52" s="84"/>
    </row>
    <row r="53" spans="2:16" s="1" customFormat="1" ht="15.75" hidden="1" customHeight="1" x14ac:dyDescent="0.2">
      <c r="B53" s="226" t="s">
        <v>72</v>
      </c>
      <c r="C53" s="227"/>
      <c r="D53" s="205" t="s">
        <v>88</v>
      </c>
      <c r="E53" s="199">
        <f>IF(C_Total_Weight&lt;&gt;100,"ERROR",C_3_Weight)</f>
        <v>20</v>
      </c>
      <c r="F53" s="200"/>
      <c r="G53" s="200"/>
      <c r="H53" s="201"/>
      <c r="J53" s="119"/>
      <c r="K53" s="119"/>
      <c r="L53" s="119"/>
      <c r="M53" s="119"/>
      <c r="N53" s="84"/>
      <c r="O53" s="84"/>
      <c r="P53" s="84"/>
    </row>
    <row r="54" spans="2:16" s="1" customFormat="1" ht="15.75" hidden="1" customHeight="1" x14ac:dyDescent="0.2">
      <c r="B54" s="228"/>
      <c r="C54" s="229"/>
      <c r="D54" s="221"/>
      <c r="E54" s="202"/>
      <c r="F54" s="203"/>
      <c r="G54" s="203"/>
      <c r="H54" s="204"/>
      <c r="J54" s="119"/>
      <c r="K54" s="119"/>
      <c r="L54" s="119"/>
      <c r="M54" s="119"/>
      <c r="N54" s="84"/>
      <c r="O54" s="84"/>
      <c r="P54" s="84"/>
    </row>
    <row r="55" spans="2:16" s="1" customFormat="1" ht="15.75" hidden="1" customHeight="1" x14ac:dyDescent="0.2">
      <c r="B55" s="228"/>
      <c r="C55" s="229"/>
      <c r="D55" s="205" t="s">
        <v>74</v>
      </c>
      <c r="E55" s="207" t="str">
        <f>IFERROR(IF(E53="ERROR","ERROR",IF(COUNTIFS(E48:E52,"No Rating Selected") &gt; 0,"Not Yet Rated",(((SUM(E48:E52)-#REF!-#REF!-#REF!)/F305)*E53)/E53)), "N/A")</f>
        <v>Not Yet Rated</v>
      </c>
      <c r="F55" s="208"/>
      <c r="G55" s="208"/>
      <c r="H55" s="209"/>
      <c r="J55" s="119"/>
      <c r="K55" s="119"/>
      <c r="L55" s="119"/>
      <c r="M55" s="119"/>
      <c r="N55" s="84"/>
      <c r="O55" s="84"/>
      <c r="P55" s="84"/>
    </row>
    <row r="56" spans="2:16" s="1" customFormat="1" ht="16.5" hidden="1" customHeight="1" thickBot="1" x14ac:dyDescent="0.25">
      <c r="B56" s="230"/>
      <c r="C56" s="231"/>
      <c r="D56" s="206"/>
      <c r="E56" s="210"/>
      <c r="F56" s="211"/>
      <c r="G56" s="211"/>
      <c r="H56" s="212"/>
      <c r="J56" s="119"/>
      <c r="K56" s="119"/>
      <c r="L56" s="119"/>
      <c r="M56" s="119"/>
      <c r="N56" s="84"/>
      <c r="O56" s="84"/>
      <c r="P56" s="84"/>
    </row>
    <row r="57" spans="2:16" s="1" customFormat="1" ht="23.25" x14ac:dyDescent="0.35">
      <c r="B57" s="215" t="s">
        <v>89</v>
      </c>
      <c r="C57" s="216"/>
      <c r="D57" s="216"/>
      <c r="E57" s="216"/>
      <c r="F57" s="216"/>
      <c r="G57" s="216"/>
      <c r="H57" s="217"/>
      <c r="J57" s="119"/>
      <c r="K57" s="119"/>
      <c r="L57" s="119"/>
      <c r="M57" s="119"/>
      <c r="N57" s="84"/>
      <c r="O57" s="84"/>
      <c r="P57" s="84"/>
    </row>
    <row r="58" spans="2:16" s="1" customFormat="1" ht="31.5" x14ac:dyDescent="0.2">
      <c r="B58" s="239" t="s">
        <v>64</v>
      </c>
      <c r="C58" s="240"/>
      <c r="D58" s="241"/>
      <c r="E58" s="7" t="s">
        <v>29</v>
      </c>
      <c r="F58" s="7"/>
      <c r="G58" s="7" t="s">
        <v>65</v>
      </c>
      <c r="H58" s="8" t="s">
        <v>66</v>
      </c>
      <c r="J58" s="119"/>
      <c r="K58" s="119"/>
      <c r="L58" s="119"/>
      <c r="M58" s="119"/>
      <c r="N58" s="84"/>
      <c r="O58" s="84"/>
      <c r="P58" s="84"/>
    </row>
    <row r="59" spans="2:16" s="1" customFormat="1" ht="66.75" customHeight="1" x14ac:dyDescent="0.2">
      <c r="B59" s="2">
        <v>1</v>
      </c>
      <c r="C59" s="213" t="s">
        <v>90</v>
      </c>
      <c r="D59" s="214"/>
      <c r="E59" s="12" t="str">
        <f>F314</f>
        <v>No Rating Selected</v>
      </c>
      <c r="F59" s="12" t="str">
        <f>IF(E59 = "No Rating Selected", "No Rating Selected",  IF(E59 = 1, "Did not meet CCAA requirements", IF(E59 = 3, "Substantially met CCAA requirements",  IF(E59 = 5, "Exceeded CCAA requirements", "N/A"   )   )   )  )</f>
        <v>No Rating Selected</v>
      </c>
      <c r="G59" s="12"/>
      <c r="H59" s="12"/>
      <c r="J59" s="119"/>
      <c r="K59" s="119"/>
      <c r="L59" s="119"/>
      <c r="M59" s="119"/>
      <c r="N59" s="84"/>
      <c r="O59" s="84"/>
      <c r="P59" s="84"/>
    </row>
    <row r="60" spans="2:16" s="1" customFormat="1" ht="44.25" customHeight="1" x14ac:dyDescent="0.2">
      <c r="B60" s="2">
        <v>2</v>
      </c>
      <c r="C60" s="213" t="s">
        <v>91</v>
      </c>
      <c r="D60" s="214"/>
      <c r="E60" s="12" t="str">
        <f>F323</f>
        <v>No Rating Selected</v>
      </c>
      <c r="F60" s="12" t="str">
        <f>IF(E60 = "No Rating Selected", "No Rating Selected",  IF(E60 = 1, "Did not meet CCAA requirements", IF(E60 = 3, "Substantially met CCAA requirements",  IF(E60 = 5, "Exceeded CCAA requirements", "N/A"   )   )   )  )</f>
        <v>No Rating Selected</v>
      </c>
      <c r="G60" s="12"/>
      <c r="H60" s="12"/>
      <c r="J60" s="119"/>
      <c r="K60" s="119"/>
      <c r="L60" s="119"/>
      <c r="M60" s="119"/>
      <c r="N60" s="84"/>
      <c r="O60" s="84"/>
      <c r="P60" s="84"/>
    </row>
    <row r="61" spans="2:16" s="1" customFormat="1" ht="33.75" customHeight="1" x14ac:dyDescent="0.2">
      <c r="B61" s="2">
        <v>3</v>
      </c>
      <c r="C61" s="213" t="s">
        <v>92</v>
      </c>
      <c r="D61" s="214"/>
      <c r="E61" s="12" t="str">
        <f>F332</f>
        <v>No Rating Selected</v>
      </c>
      <c r="F61" s="12" t="str">
        <f>IF(E61 = "No Rating Selected", "No Rating Selected",  IF(E61 = 1, "Did not meet CCAA requirements", IF(E61 = 3, "Substantially met CCAA requirements",  IF(E61 = 5, "Exceeded CCAA requirements", "N/A"   )   )   )  )</f>
        <v>No Rating Selected</v>
      </c>
      <c r="G61" s="12"/>
      <c r="H61" s="12"/>
      <c r="J61" s="119"/>
      <c r="K61" s="119"/>
      <c r="L61" s="119"/>
      <c r="M61" s="119"/>
      <c r="N61" s="84"/>
      <c r="O61" s="84"/>
      <c r="P61" s="84"/>
    </row>
    <row r="62" spans="2:16" s="1" customFormat="1" ht="34.5" customHeight="1" x14ac:dyDescent="0.2">
      <c r="B62" s="2">
        <v>4</v>
      </c>
      <c r="C62" s="213" t="s">
        <v>93</v>
      </c>
      <c r="D62" s="214"/>
      <c r="E62" s="12" t="str">
        <f>F341</f>
        <v>No Rating Selected</v>
      </c>
      <c r="F62" s="12" t="str">
        <f>IF(E62 = "No Rating Selected", "No Rating Selected",  IF(E62 = 1, "Did not meet CCAA requirements", IF(E62 = 3, "Substantially met CCAA requirements",  IF(E62 = 5, "Exceeded CCAA requirements", "N/A"   )   )   )  )</f>
        <v>No Rating Selected</v>
      </c>
      <c r="G62" s="12"/>
      <c r="H62" s="12"/>
      <c r="J62" s="119"/>
      <c r="K62" s="119"/>
      <c r="L62" s="119"/>
      <c r="M62" s="119"/>
      <c r="N62" s="84"/>
      <c r="O62" s="84"/>
      <c r="P62" s="84"/>
    </row>
    <row r="63" spans="2:16" s="1" customFormat="1" ht="34.5" customHeight="1" x14ac:dyDescent="0.2">
      <c r="B63" s="2">
        <v>5</v>
      </c>
      <c r="C63" s="213" t="s">
        <v>94</v>
      </c>
      <c r="D63" s="214"/>
      <c r="E63" s="12" t="str">
        <f>F350</f>
        <v>No Rating Selected</v>
      </c>
      <c r="F63" s="12" t="str">
        <f>IF(E63 = "No Rating Selected", "No Rating Selected",  IF(E63 = 1, "Did not meet CCAA requirements", IF(E63 = 3, "Substantially met CCAA requirements",  IF(E63 = 5, "Exceeded CCAA requirements", "N/A"   )   )   )  )</f>
        <v>No Rating Selected</v>
      </c>
      <c r="G63" s="12"/>
      <c r="H63" s="12"/>
      <c r="J63" s="119"/>
      <c r="K63" s="119"/>
      <c r="L63" s="119"/>
      <c r="M63" s="119"/>
      <c r="N63" s="84"/>
      <c r="O63" s="84"/>
      <c r="P63" s="84"/>
    </row>
    <row r="64" spans="2:16" s="1" customFormat="1" ht="15" hidden="1" customHeight="1" x14ac:dyDescent="0.2">
      <c r="B64" s="218" t="s">
        <v>72</v>
      </c>
      <c r="C64" s="219"/>
      <c r="D64" s="205" t="s">
        <v>95</v>
      </c>
      <c r="E64" s="199">
        <f>IF(C_Total_Weight&lt;&gt;100,"ERROR",C_4_Weight)</f>
        <v>15</v>
      </c>
      <c r="F64" s="200"/>
      <c r="G64" s="200"/>
      <c r="H64" s="201"/>
      <c r="J64" s="119"/>
      <c r="K64" s="119"/>
      <c r="L64" s="119"/>
      <c r="M64" s="119"/>
      <c r="N64" s="84"/>
      <c r="O64" s="84"/>
      <c r="P64" s="84"/>
    </row>
    <row r="65" spans="2:16" s="1" customFormat="1" ht="15.75" hidden="1" customHeight="1" x14ac:dyDescent="0.2">
      <c r="B65" s="218"/>
      <c r="C65" s="219"/>
      <c r="D65" s="221"/>
      <c r="E65" s="202"/>
      <c r="F65" s="203"/>
      <c r="G65" s="203"/>
      <c r="H65" s="204"/>
      <c r="J65" s="119"/>
      <c r="K65" s="119"/>
      <c r="L65" s="119"/>
      <c r="M65" s="119"/>
      <c r="N65" s="84"/>
      <c r="O65" s="84"/>
      <c r="P65" s="84"/>
    </row>
    <row r="66" spans="2:16" s="1" customFormat="1" ht="15.75" hidden="1" customHeight="1" x14ac:dyDescent="0.2">
      <c r="B66" s="218"/>
      <c r="C66" s="219"/>
      <c r="D66" s="205" t="s">
        <v>74</v>
      </c>
      <c r="E66" s="207" t="str">
        <f>IFERROR(IF(E64="ERROR","ERROR",IF(COUNTIF(E59:E63,"No Rating Selected") &gt; 0,"Not Yet Rated",((SUM(E59:E63)/F355)*E64)/E64)), "N/A")</f>
        <v>Not Yet Rated</v>
      </c>
      <c r="F66" s="208"/>
      <c r="G66" s="208"/>
      <c r="H66" s="209"/>
      <c r="J66" s="119"/>
      <c r="K66" s="119"/>
      <c r="L66" s="119"/>
      <c r="M66" s="119"/>
      <c r="N66" s="84"/>
      <c r="O66" s="84"/>
      <c r="P66" s="84"/>
    </row>
    <row r="67" spans="2:16" s="1" customFormat="1" ht="15.75" hidden="1" customHeight="1" x14ac:dyDescent="0.2">
      <c r="B67" s="220"/>
      <c r="C67" s="205"/>
      <c r="D67" s="222"/>
      <c r="E67" s="244"/>
      <c r="F67" s="245"/>
      <c r="G67" s="245"/>
      <c r="H67" s="246"/>
      <c r="J67" s="119"/>
      <c r="K67" s="119"/>
      <c r="L67" s="119"/>
      <c r="M67" s="119"/>
      <c r="N67" s="84"/>
      <c r="O67" s="84"/>
      <c r="P67" s="84"/>
    </row>
    <row r="68" spans="2:16" s="1" customFormat="1" ht="15.75" customHeight="1" x14ac:dyDescent="0.4">
      <c r="B68" s="46"/>
      <c r="C68" s="46"/>
      <c r="D68" s="46"/>
      <c r="E68" s="47"/>
      <c r="F68" s="68"/>
      <c r="G68" s="47"/>
      <c r="H68" s="48" t="str">
        <f>IF(ISBLANK(AgreementNumber),"",AgreementNumber)</f>
        <v/>
      </c>
      <c r="J68" s="119"/>
      <c r="K68" s="119"/>
      <c r="L68" s="119"/>
      <c r="M68" s="119"/>
      <c r="N68" s="84"/>
      <c r="O68" s="84"/>
      <c r="P68" s="84"/>
    </row>
    <row r="69" spans="2:16" s="1" customFormat="1" ht="23.25" x14ac:dyDescent="0.35">
      <c r="B69" s="223" t="s">
        <v>96</v>
      </c>
      <c r="C69" s="224"/>
      <c r="D69" s="224"/>
      <c r="E69" s="224"/>
      <c r="F69" s="224"/>
      <c r="G69" s="224"/>
      <c r="H69" s="225"/>
      <c r="J69" s="119"/>
      <c r="K69" s="119"/>
      <c r="L69" s="119"/>
      <c r="M69" s="119"/>
      <c r="N69" s="84"/>
      <c r="O69" s="84"/>
      <c r="P69" s="84"/>
    </row>
    <row r="70" spans="2:16" s="1" customFormat="1" ht="31.5" x14ac:dyDescent="0.2">
      <c r="B70" s="239" t="s">
        <v>64</v>
      </c>
      <c r="C70" s="240"/>
      <c r="D70" s="241"/>
      <c r="E70" s="7" t="s">
        <v>29</v>
      </c>
      <c r="F70" s="7"/>
      <c r="G70" s="7" t="s">
        <v>65</v>
      </c>
      <c r="H70" s="8" t="s">
        <v>66</v>
      </c>
      <c r="J70" s="119"/>
      <c r="K70" s="119"/>
      <c r="L70" s="119"/>
      <c r="M70" s="119"/>
      <c r="N70" s="84"/>
      <c r="O70" s="84"/>
      <c r="P70" s="84"/>
    </row>
    <row r="71" spans="2:16" s="1" customFormat="1" ht="72.2" customHeight="1" x14ac:dyDescent="0.2">
      <c r="B71" s="2">
        <v>1</v>
      </c>
      <c r="C71" s="213" t="s">
        <v>97</v>
      </c>
      <c r="D71" s="214"/>
      <c r="E71" s="12" t="str">
        <f>F364</f>
        <v>No Rating Selected</v>
      </c>
      <c r="F71" s="12" t="str">
        <f>IF(E71 = "No Rating Selected", "No Rating Selected",  IF(E71 = 1, "Did not meet CCAA requirements", IF(E71 = 3, "Substantially met CCAA requirements",  IF(E71 = 5, "Exceeded CCAA requirements", "N/A"   )   )   )  )</f>
        <v>No Rating Selected</v>
      </c>
      <c r="G71" s="12"/>
      <c r="H71" s="11"/>
      <c r="J71" s="119"/>
      <c r="K71" s="119"/>
      <c r="L71" s="119"/>
      <c r="M71" s="119"/>
      <c r="N71" s="84"/>
      <c r="O71" s="84"/>
      <c r="P71" s="84"/>
    </row>
    <row r="72" spans="2:16" s="1" customFormat="1" ht="84.75" customHeight="1" x14ac:dyDescent="0.2">
      <c r="B72" s="2">
        <v>2</v>
      </c>
      <c r="C72" s="213" t="s">
        <v>98</v>
      </c>
      <c r="D72" s="214"/>
      <c r="E72" s="12" t="str">
        <f>F373</f>
        <v>No Rating Selected</v>
      </c>
      <c r="F72" s="12" t="str">
        <f>IF(E72 = "No Rating Selected", "No Rating Selected",  IF(E72 = 1, "Did not meet CCAA requirements", IF(E72 = 3, "Substantially met CCAA requirements",  IF(E72 = 5, "Exceeded CCAA requirements", "N/A"   )   )   )  )</f>
        <v>No Rating Selected</v>
      </c>
      <c r="G72" s="12"/>
      <c r="H72" s="11"/>
      <c r="J72" s="119"/>
      <c r="K72" s="119"/>
      <c r="L72" s="119"/>
      <c r="M72" s="119"/>
      <c r="N72" s="84"/>
      <c r="O72" s="84"/>
      <c r="P72" s="84"/>
    </row>
    <row r="73" spans="2:16" s="1" customFormat="1" ht="72.2" hidden="1" customHeight="1" x14ac:dyDescent="0.2">
      <c r="B73" s="2">
        <v>3</v>
      </c>
      <c r="C73" s="213"/>
      <c r="D73" s="214"/>
      <c r="E73" s="12" t="str">
        <f>F382</f>
        <v>No Rating Selected</v>
      </c>
      <c r="F73" s="12" t="str">
        <f>IF(E73 = "No Rating Selected", "No Rating Selected",  IF(E73 = 1, "Did not meet CCAA requirements", IF(E73 = 3, "Substantially met CCAA requirements",  IF(E73 = 5, "Exceeded CCAA requirements", "N/A"   )   )   )  )</f>
        <v>No Rating Selected</v>
      </c>
      <c r="G73" s="12"/>
      <c r="H73" s="11"/>
      <c r="J73" s="119"/>
      <c r="K73" s="119"/>
      <c r="L73" s="119"/>
      <c r="M73" s="119"/>
      <c r="N73" s="84"/>
      <c r="O73" s="84"/>
      <c r="P73" s="84"/>
    </row>
    <row r="74" spans="2:16" s="1" customFormat="1" ht="88.5" customHeight="1" x14ac:dyDescent="0.2">
      <c r="B74" s="2">
        <v>3</v>
      </c>
      <c r="C74" s="213" t="s">
        <v>99</v>
      </c>
      <c r="D74" s="214"/>
      <c r="E74" s="12" t="str">
        <f>F382</f>
        <v>No Rating Selected</v>
      </c>
      <c r="F74" s="12" t="str">
        <f>IF(E74 = "No Rating Selected", "No Rating Selected",  IF(E74 = 1, "Did not meet CCAA requirements", IF(E74 = 3, "Substantially met CCAA requirements",  IF(E74 = 5, "Exceeded CCAA requirements", "N/A"   )   )   )  )</f>
        <v>No Rating Selected</v>
      </c>
      <c r="G74" s="12"/>
      <c r="H74" s="11"/>
      <c r="I74" s="5"/>
      <c r="J74" s="119"/>
      <c r="K74" s="119"/>
      <c r="L74" s="119"/>
      <c r="M74" s="119"/>
      <c r="N74" s="84"/>
      <c r="O74" s="84"/>
      <c r="P74" s="84"/>
    </row>
    <row r="75" spans="2:16" s="1" customFormat="1" ht="72.2" customHeight="1" thickBot="1" x14ac:dyDescent="0.25">
      <c r="B75" s="2">
        <v>4</v>
      </c>
      <c r="C75" s="213" t="s">
        <v>100</v>
      </c>
      <c r="D75" s="214"/>
      <c r="E75" s="12" t="str">
        <f>F391</f>
        <v>No Rating Selected</v>
      </c>
      <c r="F75" s="12" t="str">
        <f>IF(E75 = "No Rating Selected", "No Rating Selected",  IF(E75 = 1, "Did not meet CCAA requirements", IF(E75 = 3, "Substantially met CCAA requirements",  IF(E75 = 5, "Exceeded CCAA requirements", "N/A"   )   )   )  )</f>
        <v>No Rating Selected</v>
      </c>
      <c r="G75" s="12"/>
      <c r="H75" s="11"/>
      <c r="J75" s="119"/>
      <c r="K75" s="119"/>
      <c r="L75" s="119"/>
      <c r="M75" s="119"/>
      <c r="N75" s="84"/>
      <c r="O75" s="84"/>
      <c r="P75" s="84"/>
    </row>
    <row r="76" spans="2:16" s="1" customFormat="1" ht="72.2" hidden="1" customHeight="1" x14ac:dyDescent="0.2">
      <c r="B76" s="2">
        <v>6</v>
      </c>
      <c r="C76" s="213" t="s">
        <v>101</v>
      </c>
      <c r="D76" s="214"/>
      <c r="E76" s="4" t="e">
        <f>#REF!</f>
        <v>#REF!</v>
      </c>
      <c r="F76" s="12" t="e">
        <f>IF(E76 = "No Rating Selected", "No Rating Selected",  IF(E76 = 0, "No", IF(E76 = 1.5, "Yes",  IF(E76 = 5, "Exceeded expectations", "N/A"   )   )   )  )</f>
        <v>#REF!</v>
      </c>
      <c r="G76" s="12"/>
      <c r="H76" s="11"/>
      <c r="J76" s="119"/>
      <c r="K76" s="119"/>
      <c r="L76" s="119"/>
      <c r="M76" s="119"/>
      <c r="N76" s="84"/>
      <c r="O76" s="84"/>
      <c r="P76" s="84"/>
    </row>
    <row r="77" spans="2:16" s="1" customFormat="1" ht="15.75" hidden="1" customHeight="1" x14ac:dyDescent="0.2">
      <c r="B77" s="218" t="s">
        <v>72</v>
      </c>
      <c r="C77" s="219"/>
      <c r="D77" s="205" t="s">
        <v>102</v>
      </c>
      <c r="E77" s="199">
        <f>IF(C_Total_Weight&lt;&gt;100,"ERROR",C_5_Weight)</f>
        <v>25</v>
      </c>
      <c r="F77" s="200"/>
      <c r="G77" s="200"/>
      <c r="H77" s="201"/>
      <c r="J77" s="119"/>
      <c r="K77" s="119"/>
      <c r="L77" s="119"/>
      <c r="M77" s="119"/>
      <c r="N77" s="84"/>
      <c r="O77" s="84"/>
      <c r="P77" s="84"/>
    </row>
    <row r="78" spans="2:16" s="1" customFormat="1" ht="15" hidden="1" customHeight="1" x14ac:dyDescent="0.2">
      <c r="B78" s="218"/>
      <c r="C78" s="219"/>
      <c r="D78" s="221"/>
      <c r="E78" s="202"/>
      <c r="F78" s="203"/>
      <c r="G78" s="203"/>
      <c r="H78" s="204"/>
      <c r="J78" s="119"/>
      <c r="K78" s="119"/>
      <c r="L78" s="119"/>
      <c r="M78" s="119"/>
      <c r="N78" s="84"/>
      <c r="O78" s="84"/>
      <c r="P78" s="84"/>
    </row>
    <row r="79" spans="2:16" s="1" customFormat="1" ht="15.75" hidden="1" customHeight="1" x14ac:dyDescent="0.2">
      <c r="B79" s="218"/>
      <c r="C79" s="219"/>
      <c r="D79" s="205" t="s">
        <v>74</v>
      </c>
      <c r="E79" s="207" t="str">
        <f>IFERROR(IF(E77="ERROR","ERROR",IF(COUNTIF(E71:E75,"No Rating Selected") &gt; 0,"Not Yet Rated",(((SUM(E71:E75)-E73)/F405)*E77)/E77)), "N/A")</f>
        <v>Not Yet Rated</v>
      </c>
      <c r="F79" s="208"/>
      <c r="G79" s="208"/>
      <c r="H79" s="209"/>
      <c r="J79" s="119"/>
      <c r="K79" s="119"/>
      <c r="L79" s="119"/>
      <c r="M79" s="119"/>
      <c r="N79" s="84"/>
      <c r="O79" s="84"/>
      <c r="P79" s="84"/>
    </row>
    <row r="80" spans="2:16" s="1" customFormat="1" ht="15.75" hidden="1" customHeight="1" thickBot="1" x14ac:dyDescent="0.25">
      <c r="B80" s="220"/>
      <c r="C80" s="205"/>
      <c r="D80" s="222"/>
      <c r="E80" s="244"/>
      <c r="F80" s="245"/>
      <c r="G80" s="245"/>
      <c r="H80" s="246"/>
      <c r="J80" s="119"/>
      <c r="K80" s="119"/>
      <c r="L80" s="119"/>
      <c r="M80" s="119"/>
      <c r="N80" s="84"/>
      <c r="O80" s="84"/>
      <c r="P80" s="84"/>
    </row>
    <row r="81" spans="2:16" s="1" customFormat="1" ht="23.25" x14ac:dyDescent="0.35">
      <c r="B81" s="215" t="s">
        <v>103</v>
      </c>
      <c r="C81" s="216"/>
      <c r="D81" s="216"/>
      <c r="E81" s="216"/>
      <c r="F81" s="216"/>
      <c r="G81" s="216"/>
      <c r="H81" s="217"/>
      <c r="J81" s="119"/>
      <c r="K81" s="119"/>
      <c r="L81" s="119"/>
      <c r="M81" s="119"/>
      <c r="N81" s="84"/>
      <c r="O81" s="84"/>
      <c r="P81" s="84"/>
    </row>
    <row r="82" spans="2:16" s="1" customFormat="1" ht="31.5" x14ac:dyDescent="0.2">
      <c r="B82" s="267" t="s">
        <v>64</v>
      </c>
      <c r="C82" s="268"/>
      <c r="D82" s="268"/>
      <c r="E82" s="7" t="s">
        <v>29</v>
      </c>
      <c r="F82" s="7"/>
      <c r="G82" s="7" t="s">
        <v>65</v>
      </c>
      <c r="H82" s="8" t="s">
        <v>66</v>
      </c>
      <c r="J82" s="119"/>
      <c r="K82" s="119"/>
      <c r="L82" s="119"/>
      <c r="M82" s="119"/>
      <c r="N82" s="84"/>
      <c r="O82" s="84"/>
      <c r="P82" s="84"/>
    </row>
    <row r="83" spans="2:16" s="1" customFormat="1" ht="98.25" customHeight="1" x14ac:dyDescent="0.2">
      <c r="B83" s="2">
        <v>1</v>
      </c>
      <c r="C83" s="254" t="s">
        <v>104</v>
      </c>
      <c r="D83" s="254"/>
      <c r="E83" s="12" t="str">
        <f>F414</f>
        <v>No Rating Selected</v>
      </c>
      <c r="F83" s="12" t="str">
        <f>IF(E83 = "No Rating Selected", "No Rating Selected",  IF(E83 = 1, "Did not meet CCAA requirements", IF(E83 = 3, "Substantially met CCAA requirements",  IF(E83 = 5, "Exceeded CCAA requirements", "N/A"   )   )   )  )</f>
        <v>No Rating Selected</v>
      </c>
      <c r="G83" s="12"/>
      <c r="H83" s="11"/>
      <c r="J83" s="119"/>
      <c r="K83" s="119"/>
      <c r="L83" s="119"/>
      <c r="M83" s="119"/>
      <c r="N83" s="84"/>
      <c r="O83" s="84"/>
      <c r="P83" s="84"/>
    </row>
    <row r="84" spans="2:16" s="1" customFormat="1" ht="90" customHeight="1" x14ac:dyDescent="0.2">
      <c r="B84" s="2">
        <v>2</v>
      </c>
      <c r="C84" s="254" t="s">
        <v>105</v>
      </c>
      <c r="D84" s="254"/>
      <c r="E84" s="12" t="str">
        <f>F423</f>
        <v>No Rating Selected</v>
      </c>
      <c r="F84" s="12" t="str">
        <f>IF(E84 = "No Rating Selected", "No Rating Selected",  IF(E84 = 1, "Did not meet CCAA requirements", IF(E84 = 3, "Substantially met CCAA requirements",  IF(E84 = 5, "Exceeded CCAA requirements", "N/A"   )   )   )  )</f>
        <v>No Rating Selected</v>
      </c>
      <c r="G84" s="12"/>
      <c r="H84" s="11"/>
      <c r="J84" s="119"/>
      <c r="K84" s="119"/>
      <c r="L84" s="119"/>
      <c r="M84" s="119"/>
      <c r="N84" s="84"/>
      <c r="O84" s="84"/>
      <c r="P84" s="84"/>
    </row>
    <row r="85" spans="2:16" s="1" customFormat="1" ht="72.2" customHeight="1" x14ac:dyDescent="0.2">
      <c r="B85" s="2">
        <v>3</v>
      </c>
      <c r="C85" s="254" t="s">
        <v>106</v>
      </c>
      <c r="D85" s="254"/>
      <c r="E85" s="12" t="str">
        <f>F432</f>
        <v>No Rating Selected</v>
      </c>
      <c r="F85" s="12" t="str">
        <f>IF(E85 = "No Rating Selected", "No Rating Selected",  IF(E85 = 1, "Did not meet CCAA requirements", IF(E85 = 3, "Substantially met CCAA requirements",  IF(E85 = 5, "Exceeded CCAA requirements", "N/A"   )   )   )  )</f>
        <v>No Rating Selected</v>
      </c>
      <c r="G85" s="12"/>
      <c r="H85" s="11"/>
      <c r="J85" s="119"/>
      <c r="K85" s="119"/>
      <c r="L85" s="119"/>
      <c r="M85" s="119"/>
      <c r="N85" s="84"/>
      <c r="O85" s="84"/>
      <c r="P85" s="84"/>
    </row>
    <row r="86" spans="2:16" s="1" customFormat="1" ht="111.75" customHeight="1" thickBot="1" x14ac:dyDescent="0.25">
      <c r="B86" s="2">
        <v>4</v>
      </c>
      <c r="C86" s="254" t="s">
        <v>107</v>
      </c>
      <c r="D86" s="254"/>
      <c r="E86" s="12" t="str">
        <f>F441</f>
        <v>No Rating Selected</v>
      </c>
      <c r="F86" s="12" t="str">
        <f>IF(E86 = "No Rating Selected", "No Rating Selected",  IF(E86 = 1, "Did not meet CCAA requirements", IF(E86 = 3, "Substantially met CCAA requirements",  IF(E86 = 5, "Exceeded CCAA requirements", "N/A"   )   )   )  )</f>
        <v>No Rating Selected</v>
      </c>
      <c r="G86" s="12"/>
      <c r="H86" s="11"/>
      <c r="J86" s="119"/>
      <c r="K86" s="119"/>
      <c r="L86" s="119"/>
      <c r="M86" s="119"/>
      <c r="N86" s="84"/>
      <c r="O86" s="84"/>
      <c r="P86" s="84"/>
    </row>
    <row r="87" spans="2:16" s="1" customFormat="1" ht="15.75" hidden="1" customHeight="1" x14ac:dyDescent="0.2">
      <c r="B87" s="218" t="s">
        <v>72</v>
      </c>
      <c r="C87" s="219"/>
      <c r="D87" s="219" t="s">
        <v>108</v>
      </c>
      <c r="E87" s="252">
        <f>IF(C_Total_Weight&lt;&gt;100,"ERROR",C_6_Weight)</f>
        <v>10</v>
      </c>
      <c r="F87" s="252"/>
      <c r="G87" s="252"/>
      <c r="H87" s="253"/>
      <c r="J87" s="119"/>
      <c r="K87" s="119"/>
      <c r="L87" s="119"/>
      <c r="M87" s="119"/>
      <c r="N87" s="84"/>
      <c r="O87" s="84"/>
      <c r="P87" s="84"/>
    </row>
    <row r="88" spans="2:16" s="1" customFormat="1" ht="15.75" hidden="1" customHeight="1" x14ac:dyDescent="0.2">
      <c r="B88" s="218"/>
      <c r="C88" s="219"/>
      <c r="D88" s="219"/>
      <c r="E88" s="252"/>
      <c r="F88" s="252"/>
      <c r="G88" s="252"/>
      <c r="H88" s="253"/>
      <c r="J88" s="119"/>
      <c r="K88" s="119"/>
      <c r="L88" s="119"/>
      <c r="M88" s="119"/>
      <c r="N88" s="84"/>
      <c r="O88" s="84"/>
      <c r="P88" s="84"/>
    </row>
    <row r="89" spans="2:16" s="1" customFormat="1" ht="15.75" hidden="1" customHeight="1" x14ac:dyDescent="0.2">
      <c r="B89" s="218"/>
      <c r="C89" s="219"/>
      <c r="D89" s="219" t="s">
        <v>74</v>
      </c>
      <c r="E89" s="248" t="str">
        <f>IFERROR(IF(E87="ERROR","ERROR",IF(COUNTIF(E83:E84,"No Rating Selected") &gt; 0,"Not Yet Rated",((SUM(E83:E86)/F446)*E87)/E87)), "N/A")</f>
        <v>Not Yet Rated</v>
      </c>
      <c r="F89" s="248"/>
      <c r="G89" s="248"/>
      <c r="H89" s="249"/>
      <c r="J89" s="119"/>
      <c r="K89" s="119"/>
      <c r="L89" s="119"/>
      <c r="M89" s="119"/>
      <c r="N89" s="84"/>
      <c r="O89" s="84"/>
      <c r="P89" s="84"/>
    </row>
    <row r="90" spans="2:16" s="1" customFormat="1" ht="16.5" hidden="1" customHeight="1" thickBot="1" x14ac:dyDescent="0.25">
      <c r="B90" s="247"/>
      <c r="C90" s="232"/>
      <c r="D90" s="232"/>
      <c r="E90" s="250"/>
      <c r="F90" s="250"/>
      <c r="G90" s="250"/>
      <c r="H90" s="251"/>
      <c r="J90" s="119"/>
      <c r="K90" s="119"/>
      <c r="L90" s="119"/>
      <c r="M90" s="119"/>
      <c r="N90" s="84"/>
      <c r="O90" s="84"/>
      <c r="P90" s="84"/>
    </row>
    <row r="91" spans="2:16" s="1" customFormat="1" ht="23.25" x14ac:dyDescent="0.35">
      <c r="B91" s="215" t="s">
        <v>109</v>
      </c>
      <c r="C91" s="216"/>
      <c r="D91" s="216"/>
      <c r="E91" s="216"/>
      <c r="F91" s="216"/>
      <c r="G91" s="216"/>
      <c r="H91" s="217"/>
      <c r="J91" s="119"/>
      <c r="K91" s="119"/>
      <c r="L91" s="119"/>
      <c r="M91" s="119"/>
      <c r="N91" s="84"/>
      <c r="O91" s="84"/>
      <c r="P91" s="84"/>
    </row>
    <row r="92" spans="2:16" s="1" customFormat="1" ht="36.75" customHeight="1" x14ac:dyDescent="0.2">
      <c r="B92" s="239" t="s">
        <v>64</v>
      </c>
      <c r="C92" s="240"/>
      <c r="D92" s="241"/>
      <c r="E92" s="7"/>
      <c r="F92" s="7"/>
      <c r="G92" s="7" t="s">
        <v>110</v>
      </c>
      <c r="H92" s="8" t="s">
        <v>66</v>
      </c>
      <c r="J92" s="119"/>
      <c r="K92" s="119"/>
      <c r="L92" s="119"/>
      <c r="M92" s="119"/>
      <c r="N92" s="84"/>
      <c r="O92" s="84"/>
      <c r="P92" s="84"/>
    </row>
    <row r="93" spans="2:16" s="1" customFormat="1" ht="90" customHeight="1" x14ac:dyDescent="0.2">
      <c r="B93" s="2">
        <v>1</v>
      </c>
      <c r="C93" s="213" t="s">
        <v>111</v>
      </c>
      <c r="D93" s="214"/>
      <c r="E93" s="7"/>
      <c r="F93" s="43" t="str">
        <f>E94</f>
        <v>No Rating Selected</v>
      </c>
      <c r="G93" s="12"/>
      <c r="H93" s="11"/>
      <c r="I93" s="5"/>
      <c r="J93" s="119"/>
      <c r="K93" s="119"/>
      <c r="L93" s="119"/>
      <c r="M93" s="119"/>
      <c r="N93" s="84"/>
      <c r="O93" s="84"/>
      <c r="P93" s="84"/>
    </row>
    <row r="94" spans="2:16" ht="14.25" hidden="1" customHeight="1" x14ac:dyDescent="0.2">
      <c r="B94" s="218" t="s">
        <v>72</v>
      </c>
      <c r="C94" s="219"/>
      <c r="D94" s="205" t="s">
        <v>74</v>
      </c>
      <c r="E94" s="199" t="str">
        <f>F453</f>
        <v>No Rating Selected</v>
      </c>
      <c r="F94" s="200"/>
      <c r="G94" s="200"/>
      <c r="H94" s="201"/>
      <c r="I94" s="44"/>
      <c r="J94" s="119"/>
      <c r="K94" s="119"/>
      <c r="L94" s="119"/>
      <c r="M94" s="119"/>
      <c r="N94" s="118"/>
      <c r="O94" s="118"/>
      <c r="P94" s="118"/>
    </row>
    <row r="95" spans="2:16" ht="14.25" hidden="1" customHeight="1" x14ac:dyDescent="0.2">
      <c r="B95" s="218"/>
      <c r="C95" s="219"/>
      <c r="D95" s="222"/>
      <c r="E95" s="233"/>
      <c r="F95" s="234"/>
      <c r="G95" s="234"/>
      <c r="H95" s="235"/>
      <c r="I95" s="44"/>
      <c r="J95" s="119"/>
      <c r="K95" s="119"/>
      <c r="L95" s="119"/>
      <c r="M95" s="119"/>
      <c r="N95" s="118"/>
      <c r="O95" s="118"/>
      <c r="P95" s="118"/>
    </row>
    <row r="96" spans="2:16" ht="14.25" hidden="1" customHeight="1" x14ac:dyDescent="0.2">
      <c r="B96" s="218"/>
      <c r="C96" s="219"/>
      <c r="D96" s="222"/>
      <c r="E96" s="233"/>
      <c r="F96" s="234"/>
      <c r="G96" s="234"/>
      <c r="H96" s="235"/>
      <c r="I96" s="44"/>
      <c r="J96" s="119"/>
      <c r="K96" s="119"/>
      <c r="L96" s="119"/>
      <c r="M96" s="119"/>
      <c r="N96" s="118"/>
      <c r="O96" s="118"/>
      <c r="P96" s="118"/>
    </row>
    <row r="97" spans="2:16" ht="15" hidden="1" customHeight="1" thickBot="1" x14ac:dyDescent="0.25">
      <c r="B97" s="247"/>
      <c r="C97" s="232"/>
      <c r="D97" s="206"/>
      <c r="E97" s="236"/>
      <c r="F97" s="237"/>
      <c r="G97" s="237"/>
      <c r="H97" s="238"/>
      <c r="I97" s="44"/>
      <c r="J97" s="119"/>
      <c r="K97" s="119"/>
      <c r="L97" s="119"/>
      <c r="M97" s="119"/>
      <c r="N97" s="118"/>
      <c r="O97" s="118"/>
      <c r="P97" s="118"/>
    </row>
    <row r="98" spans="2:16" ht="27" customHeight="1" x14ac:dyDescent="0.25">
      <c r="B98" s="44"/>
      <c r="C98" s="122" t="s">
        <v>112</v>
      </c>
      <c r="D98" s="44"/>
      <c r="E98" s="44"/>
      <c r="F98" s="72"/>
      <c r="G98" s="44"/>
      <c r="H98" s="44"/>
      <c r="I98" s="44"/>
      <c r="J98" s="119"/>
      <c r="K98" s="119"/>
      <c r="L98" s="119"/>
      <c r="M98" s="119"/>
      <c r="N98" s="118"/>
      <c r="O98" s="118"/>
      <c r="P98" s="118"/>
    </row>
    <row r="99" spans="2:16" ht="42" customHeight="1" x14ac:dyDescent="0.25">
      <c r="B99" s="44"/>
      <c r="C99" s="263" t="s">
        <v>113</v>
      </c>
      <c r="D99" s="263"/>
      <c r="E99" s="44"/>
      <c r="F99" s="72"/>
      <c r="G99" s="263" t="s">
        <v>114</v>
      </c>
      <c r="H99" s="263"/>
      <c r="I99" s="44"/>
      <c r="J99" s="119"/>
      <c r="K99" s="119"/>
      <c r="L99" s="119"/>
      <c r="M99" s="119"/>
      <c r="N99" s="118"/>
      <c r="O99" s="118"/>
      <c r="P99" s="118"/>
    </row>
    <row r="100" spans="2:16" ht="15" hidden="1" x14ac:dyDescent="0.25">
      <c r="B100" s="44"/>
      <c r="C100" s="44"/>
      <c r="D100" s="265" t="s">
        <v>115</v>
      </c>
      <c r="E100" s="266"/>
      <c r="F100" s="266"/>
      <c r="G100" s="266"/>
      <c r="H100" s="44"/>
      <c r="I100" s="44"/>
      <c r="J100" s="119"/>
      <c r="K100" s="119"/>
      <c r="L100" s="119"/>
      <c r="M100" s="119"/>
      <c r="N100" s="118"/>
      <c r="O100" s="118"/>
      <c r="P100" s="118"/>
    </row>
    <row r="101" spans="2:16" ht="15" hidden="1" x14ac:dyDescent="0.25">
      <c r="B101" s="44"/>
      <c r="C101" s="44"/>
      <c r="D101" s="31" t="s">
        <v>43</v>
      </c>
      <c r="E101" s="31" t="s">
        <v>116</v>
      </c>
      <c r="F101" s="31" t="s">
        <v>45</v>
      </c>
      <c r="G101" s="31" t="s">
        <v>39</v>
      </c>
      <c r="H101" s="44"/>
      <c r="I101" s="44"/>
      <c r="J101" s="119"/>
      <c r="K101" s="119"/>
      <c r="L101" s="119"/>
      <c r="M101" s="119"/>
      <c r="N101" s="118"/>
      <c r="O101" s="118"/>
      <c r="P101" s="118"/>
    </row>
    <row r="102" spans="2:16" hidden="1" x14ac:dyDescent="0.2">
      <c r="B102" s="44"/>
      <c r="C102" s="44"/>
      <c r="D102" s="75" t="s">
        <v>32</v>
      </c>
      <c r="E102" s="75">
        <f>C_1_Weight/100</f>
        <v>0.15</v>
      </c>
      <c r="F102" s="76" t="str">
        <f>$E$31</f>
        <v>Not Yet Rated</v>
      </c>
      <c r="G102" s="76" t="str">
        <f>IFERROR(IF( $F$102 = "N/A","N/A",$E$102*$F$102 ), "Not Yet Rated")</f>
        <v>Not Yet Rated</v>
      </c>
      <c r="H102" s="44"/>
      <c r="I102" s="44"/>
      <c r="J102" s="119"/>
      <c r="K102" s="119"/>
      <c r="L102" s="119"/>
      <c r="M102" s="119"/>
      <c r="N102" s="118"/>
      <c r="O102" s="118"/>
      <c r="P102" s="118"/>
    </row>
    <row r="103" spans="2:16" hidden="1" x14ac:dyDescent="0.2">
      <c r="B103" s="44"/>
      <c r="C103" s="44"/>
      <c r="D103" s="75" t="s">
        <v>33</v>
      </c>
      <c r="E103" s="75">
        <f>C_2_Weight/100</f>
        <v>0.15</v>
      </c>
      <c r="F103" s="76" t="str">
        <f>$E$43</f>
        <v>Not Yet Rated</v>
      </c>
      <c r="G103" s="76" t="str">
        <f>IFERROR(IF( $F$103 = "N/A","N/A",$E$103*$F$103 ), "Not Yet Rated")</f>
        <v>Not Yet Rated</v>
      </c>
      <c r="H103" s="44"/>
      <c r="I103" s="44"/>
      <c r="J103" s="119"/>
      <c r="K103" s="119"/>
      <c r="L103" s="119"/>
      <c r="M103" s="119"/>
      <c r="N103" s="118"/>
      <c r="O103" s="118"/>
      <c r="P103" s="118"/>
    </row>
    <row r="104" spans="2:16" hidden="1" x14ac:dyDescent="0.2">
      <c r="B104" s="44"/>
      <c r="C104" s="44"/>
      <c r="D104" s="75" t="s">
        <v>34</v>
      </c>
      <c r="E104" s="75">
        <f>C_3_Weight/100</f>
        <v>0.2</v>
      </c>
      <c r="F104" s="76" t="str">
        <f>$E$55</f>
        <v>Not Yet Rated</v>
      </c>
      <c r="G104" s="76" t="str">
        <f>IFERROR(IF( $F$104 = "N/A","N/A",$E$104*$F$104 ), "Not Yet Rated")</f>
        <v>Not Yet Rated</v>
      </c>
      <c r="H104" s="44"/>
      <c r="I104" s="44"/>
      <c r="J104" s="119"/>
      <c r="K104" s="119"/>
      <c r="L104" s="119"/>
      <c r="M104" s="119"/>
      <c r="N104" s="118"/>
      <c r="O104" s="118"/>
      <c r="P104" s="118"/>
    </row>
    <row r="105" spans="2:16" hidden="1" x14ac:dyDescent="0.2">
      <c r="B105" s="44"/>
      <c r="C105" s="44"/>
      <c r="D105" s="75" t="s">
        <v>35</v>
      </c>
      <c r="E105" s="75">
        <f>C_4_Weight/100</f>
        <v>0.15</v>
      </c>
      <c r="F105" s="76" t="str">
        <f>$E$66</f>
        <v>Not Yet Rated</v>
      </c>
      <c r="G105" s="76" t="str">
        <f>IFERROR(IF( $F$105 = "N/A","N/A",$E$105*$F$105 ), "Not Yet Rated")</f>
        <v>Not Yet Rated</v>
      </c>
      <c r="H105" s="44"/>
      <c r="I105" s="44"/>
      <c r="J105" s="118"/>
      <c r="K105" s="118"/>
      <c r="L105" s="118"/>
      <c r="M105" s="118"/>
      <c r="N105" s="118"/>
      <c r="O105" s="118"/>
      <c r="P105" s="118"/>
    </row>
    <row r="106" spans="2:16" hidden="1" x14ac:dyDescent="0.2">
      <c r="B106" s="44"/>
      <c r="C106" s="44"/>
      <c r="D106" s="75" t="s">
        <v>36</v>
      </c>
      <c r="E106" s="75">
        <f>C_5_Weight/100</f>
        <v>0.25</v>
      </c>
      <c r="F106" s="76" t="str">
        <f>$E$79</f>
        <v>Not Yet Rated</v>
      </c>
      <c r="G106" s="76" t="str">
        <f>IFERROR(IF( $F$106 = "N/A","N/A",$E$106*$F$106 ), "Not Yet Rated")</f>
        <v>Not Yet Rated</v>
      </c>
      <c r="H106" s="44"/>
      <c r="I106" s="44"/>
      <c r="J106" s="118"/>
      <c r="K106" s="118"/>
      <c r="L106" s="118"/>
      <c r="M106" s="118"/>
      <c r="N106" s="118"/>
      <c r="O106" s="118"/>
      <c r="P106" s="118"/>
    </row>
    <row r="107" spans="2:16" hidden="1" x14ac:dyDescent="0.2">
      <c r="B107" s="44"/>
      <c r="C107" s="44"/>
      <c r="D107" s="75" t="s">
        <v>37</v>
      </c>
      <c r="E107" s="75">
        <f>C_6_Weight/100</f>
        <v>0.1</v>
      </c>
      <c r="F107" s="76" t="str">
        <f>$E$89</f>
        <v>Not Yet Rated</v>
      </c>
      <c r="G107" s="76" t="str">
        <f>IFERROR(IF( $F$107 = "N/A","N/A",$E$107*$F$107 ), "Not Yet Rated")</f>
        <v>Not Yet Rated</v>
      </c>
      <c r="H107" s="44"/>
      <c r="I107" s="44"/>
      <c r="J107" s="118"/>
      <c r="K107" s="118"/>
      <c r="L107" s="118"/>
      <c r="M107" s="118"/>
      <c r="N107" s="118"/>
      <c r="O107" s="118"/>
      <c r="P107" s="118"/>
    </row>
    <row r="108" spans="2:16" hidden="1" x14ac:dyDescent="0.2">
      <c r="B108" s="44"/>
      <c r="C108" s="44"/>
      <c r="D108" s="75" t="s">
        <v>38</v>
      </c>
      <c r="E108" s="75" t="s">
        <v>117</v>
      </c>
      <c r="F108" s="76" t="str">
        <f>$E$94</f>
        <v>No Rating Selected</v>
      </c>
      <c r="G108" s="76" t="str">
        <f>$E$94</f>
        <v>No Rating Selected</v>
      </c>
      <c r="H108" s="44"/>
      <c r="I108" s="44"/>
      <c r="J108" s="118"/>
      <c r="K108" s="118"/>
      <c r="L108" s="118"/>
      <c r="M108" s="118"/>
      <c r="N108" s="118"/>
      <c r="O108" s="118"/>
      <c r="P108" s="118"/>
    </row>
    <row r="109" spans="2:16" hidden="1" x14ac:dyDescent="0.2">
      <c r="B109" s="44"/>
      <c r="C109" s="44"/>
      <c r="D109" s="44"/>
      <c r="E109" s="44"/>
      <c r="F109" s="72"/>
      <c r="G109" s="44"/>
      <c r="H109" s="44"/>
      <c r="I109" s="44"/>
      <c r="J109" s="118"/>
      <c r="K109" s="118"/>
      <c r="L109" s="118"/>
      <c r="M109" s="118"/>
      <c r="N109" s="118"/>
      <c r="O109" s="118"/>
      <c r="P109" s="118"/>
    </row>
    <row r="110" spans="2:16" hidden="1" x14ac:dyDescent="0.2">
      <c r="B110" s="44"/>
      <c r="C110" s="44"/>
      <c r="D110" s="44"/>
      <c r="E110" s="44"/>
      <c r="F110" s="72"/>
      <c r="G110" s="44"/>
      <c r="H110" s="44"/>
      <c r="I110" s="44"/>
      <c r="J110" s="40" t="s">
        <v>118</v>
      </c>
      <c r="K110" s="118"/>
      <c r="L110" s="118"/>
      <c r="M110" s="118"/>
      <c r="N110" s="118"/>
      <c r="O110" s="118"/>
      <c r="P110" s="118"/>
    </row>
    <row r="111" spans="2:16" ht="15" hidden="1" x14ac:dyDescent="0.25">
      <c r="B111" s="44"/>
      <c r="C111" s="44"/>
      <c r="D111" s="260" t="s">
        <v>119</v>
      </c>
      <c r="E111" s="260"/>
      <c r="F111" s="260"/>
      <c r="G111" s="44"/>
      <c r="H111" s="44"/>
      <c r="I111" s="44"/>
      <c r="J111" s="40" t="s">
        <v>120</v>
      </c>
      <c r="K111" s="118"/>
      <c r="L111" s="118"/>
      <c r="M111" s="118"/>
      <c r="N111" s="118"/>
      <c r="O111" s="118"/>
      <c r="P111" s="118"/>
    </row>
    <row r="112" spans="2:16" ht="16.5" hidden="1" thickBot="1" x14ac:dyDescent="0.3">
      <c r="B112" s="44"/>
      <c r="C112" s="44"/>
      <c r="D112" s="32"/>
      <c r="E112" s="32"/>
      <c r="F112" s="32"/>
      <c r="G112" s="44"/>
      <c r="H112" s="44"/>
      <c r="I112" s="44"/>
      <c r="J112" s="40"/>
      <c r="K112" s="118"/>
      <c r="L112" s="118"/>
      <c r="M112" s="118"/>
      <c r="N112" s="118"/>
      <c r="O112" s="118"/>
      <c r="P112" s="118"/>
    </row>
    <row r="113" spans="4:16" ht="15.75" hidden="1" thickBot="1" x14ac:dyDescent="0.3">
      <c r="D113" s="255" t="s">
        <v>121</v>
      </c>
      <c r="E113" s="256"/>
      <c r="F113" s="257"/>
      <c r="G113" s="44"/>
      <c r="H113" s="44"/>
      <c r="I113" s="44"/>
      <c r="J113" s="40"/>
      <c r="K113" s="118"/>
      <c r="L113" s="118"/>
      <c r="M113" s="118"/>
      <c r="N113" s="118"/>
      <c r="O113" s="118"/>
      <c r="P113" s="118"/>
    </row>
    <row r="114" spans="4:16" hidden="1" x14ac:dyDescent="0.2">
      <c r="D114" s="89"/>
      <c r="E114" s="88" t="s">
        <v>122</v>
      </c>
      <c r="F114" s="90"/>
      <c r="G114" s="44"/>
      <c r="H114" s="44"/>
      <c r="I114" s="44"/>
      <c r="J114" s="40"/>
      <c r="K114" s="118"/>
      <c r="L114" s="118"/>
      <c r="M114" s="118"/>
      <c r="N114" s="118"/>
      <c r="O114" s="118"/>
      <c r="P114" s="118"/>
    </row>
    <row r="115" spans="4:16" hidden="1" x14ac:dyDescent="0.2">
      <c r="D115" s="91" t="s">
        <v>123</v>
      </c>
      <c r="E115" s="69" t="b">
        <v>0</v>
      </c>
      <c r="F115" s="92">
        <f>IF(C_111=TRUE,5,0)</f>
        <v>0</v>
      </c>
      <c r="G115" s="44"/>
      <c r="H115" s="44"/>
      <c r="I115" s="44"/>
      <c r="J115" s="40"/>
      <c r="K115" s="118"/>
      <c r="L115" s="118"/>
      <c r="M115" s="118"/>
      <c r="N115" s="118"/>
      <c r="O115" s="118"/>
      <c r="P115" s="118"/>
    </row>
    <row r="116" spans="4:16" hidden="1" x14ac:dyDescent="0.2">
      <c r="D116" s="93" t="s">
        <v>124</v>
      </c>
      <c r="E116" s="70" t="b">
        <v>0</v>
      </c>
      <c r="F116" s="94">
        <f>IF(C_112=TRUE,3,0)</f>
        <v>0</v>
      </c>
      <c r="G116" s="44"/>
      <c r="H116" s="44"/>
      <c r="I116" s="44"/>
      <c r="J116" s="40"/>
      <c r="K116" s="118"/>
      <c r="L116" s="118"/>
      <c r="M116" s="118"/>
      <c r="N116" s="118"/>
      <c r="O116" s="118"/>
      <c r="P116" s="118"/>
    </row>
    <row r="117" spans="4:16" hidden="1" x14ac:dyDescent="0.2">
      <c r="D117" s="93" t="s">
        <v>125</v>
      </c>
      <c r="E117" s="70" t="b">
        <v>0</v>
      </c>
      <c r="F117" s="94">
        <f>IF(C_113=TRUE,1,0)</f>
        <v>0</v>
      </c>
      <c r="G117" s="44"/>
      <c r="H117" s="44"/>
      <c r="I117" s="44"/>
      <c r="J117" s="40"/>
      <c r="K117" s="118"/>
      <c r="L117" s="118"/>
      <c r="M117" s="118"/>
      <c r="N117" s="118"/>
      <c r="O117" s="118"/>
      <c r="P117" s="118"/>
    </row>
    <row r="118" spans="4:16" hidden="1" x14ac:dyDescent="0.2">
      <c r="D118" s="95" t="s">
        <v>126</v>
      </c>
      <c r="E118" s="70" t="b">
        <v>0</v>
      </c>
      <c r="F118" s="94">
        <f>IF(C_114=TRUE,"N/A",0)</f>
        <v>0</v>
      </c>
      <c r="G118" s="44"/>
      <c r="H118" s="44"/>
      <c r="I118" s="44"/>
      <c r="J118" s="40"/>
      <c r="K118" s="118"/>
      <c r="L118" s="118"/>
      <c r="M118" s="118"/>
      <c r="N118" s="118"/>
      <c r="O118" s="118"/>
      <c r="P118" s="118"/>
    </row>
    <row r="119" spans="4:16" ht="14.25" hidden="1" customHeight="1" x14ac:dyDescent="0.4">
      <c r="D119" s="96"/>
      <c r="E119" s="33" t="s">
        <v>127</v>
      </c>
      <c r="F119" s="97" t="str">
        <f>IF(COUNTIF(E115:E118,FALSE)=4,"No Rating Selected",IF(F118="N/A","N/A",SUM(F115:F117)))</f>
        <v>No Rating Selected</v>
      </c>
      <c r="G119" s="44"/>
      <c r="H119" s="44"/>
      <c r="I119" s="44"/>
      <c r="J119" s="264"/>
      <c r="K119" s="264"/>
      <c r="L119" s="264"/>
      <c r="M119" s="118"/>
      <c r="N119" s="118"/>
      <c r="O119" s="118"/>
      <c r="P119" s="118"/>
    </row>
    <row r="120" spans="4:16" ht="15" hidden="1" x14ac:dyDescent="0.2">
      <c r="D120" s="96"/>
      <c r="E120" s="33" t="s">
        <v>128</v>
      </c>
      <c r="F120" s="97">
        <f>IF(C_114=TRUE,0,5)</f>
        <v>5</v>
      </c>
      <c r="G120" s="44"/>
      <c r="H120" s="44"/>
      <c r="I120" s="44"/>
      <c r="J120" s="118"/>
      <c r="K120" s="118"/>
      <c r="L120" s="118"/>
      <c r="M120" s="118"/>
      <c r="N120" s="118"/>
      <c r="O120" s="118"/>
      <c r="P120" s="118"/>
    </row>
    <row r="121" spans="4:16" ht="15" hidden="1" x14ac:dyDescent="0.2">
      <c r="D121" s="96"/>
      <c r="E121" s="33" t="s">
        <v>129</v>
      </c>
      <c r="F121" s="97" t="b">
        <f>IF(COUNTIF(E115:E118,TRUE)=1,TRUE,FALSE)</f>
        <v>0</v>
      </c>
      <c r="G121" s="44"/>
      <c r="H121" s="44"/>
      <c r="I121" s="44"/>
      <c r="J121" s="118"/>
      <c r="K121" s="118"/>
      <c r="L121" s="118"/>
      <c r="M121" s="118"/>
      <c r="N121" s="118"/>
      <c r="O121" s="118"/>
      <c r="P121" s="118"/>
    </row>
    <row r="122" spans="4:16" hidden="1" x14ac:dyDescent="0.2">
      <c r="D122" s="98"/>
      <c r="E122" s="44"/>
      <c r="F122" s="99"/>
      <c r="G122" s="44"/>
      <c r="H122" s="44"/>
      <c r="I122" s="44"/>
      <c r="J122" s="118"/>
      <c r="K122" s="118"/>
      <c r="L122" s="118"/>
      <c r="M122" s="118"/>
      <c r="N122" s="118"/>
      <c r="O122" s="118"/>
      <c r="P122" s="118"/>
    </row>
    <row r="123" spans="4:16" hidden="1" x14ac:dyDescent="0.2">
      <c r="D123" s="100"/>
      <c r="E123" s="51" t="s">
        <v>130</v>
      </c>
      <c r="F123" s="101"/>
      <c r="G123" s="44"/>
      <c r="H123" s="44"/>
      <c r="I123" s="44"/>
      <c r="J123" s="118"/>
      <c r="K123" s="118"/>
      <c r="L123" s="118"/>
      <c r="M123" s="118"/>
      <c r="N123" s="118"/>
      <c r="O123" s="118"/>
      <c r="P123" s="118"/>
    </row>
    <row r="124" spans="4:16" hidden="1" x14ac:dyDescent="0.2">
      <c r="D124" s="91" t="s">
        <v>123</v>
      </c>
      <c r="E124" s="69" t="b">
        <v>0</v>
      </c>
      <c r="F124" s="92">
        <f>IF(C_121=TRUE,5,0)</f>
        <v>0</v>
      </c>
      <c r="G124" s="44"/>
      <c r="H124" s="44"/>
      <c r="I124" s="44"/>
      <c r="J124" s="118"/>
      <c r="K124" s="118"/>
      <c r="L124" s="118"/>
      <c r="M124" s="118"/>
      <c r="N124" s="118"/>
      <c r="O124" s="118"/>
      <c r="P124" s="118"/>
    </row>
    <row r="125" spans="4:16" hidden="1" x14ac:dyDescent="0.2">
      <c r="D125" s="93" t="s">
        <v>124</v>
      </c>
      <c r="E125" s="77" t="b">
        <v>0</v>
      </c>
      <c r="F125" s="94">
        <f>IF(C_122=TRUE,3,0)</f>
        <v>0</v>
      </c>
      <c r="G125" s="44"/>
      <c r="H125" s="44"/>
      <c r="I125" s="44"/>
      <c r="J125" s="118"/>
      <c r="K125" s="118"/>
      <c r="L125" s="118"/>
      <c r="M125" s="118"/>
      <c r="N125" s="118"/>
      <c r="O125" s="118"/>
      <c r="P125" s="118"/>
    </row>
    <row r="126" spans="4:16" hidden="1" x14ac:dyDescent="0.2">
      <c r="D126" s="93" t="s">
        <v>125</v>
      </c>
      <c r="E126" s="77" t="b">
        <v>0</v>
      </c>
      <c r="F126" s="94">
        <f>IF(C_123=TRUE,1,0)</f>
        <v>0</v>
      </c>
      <c r="G126" s="44"/>
      <c r="H126" s="44"/>
      <c r="I126" s="44"/>
      <c r="J126" s="118"/>
      <c r="K126" s="118"/>
      <c r="L126" s="118"/>
      <c r="M126" s="118"/>
      <c r="N126" s="118"/>
      <c r="O126" s="118"/>
      <c r="P126" s="118"/>
    </row>
    <row r="127" spans="4:16" hidden="1" x14ac:dyDescent="0.2">
      <c r="D127" s="93" t="s">
        <v>126</v>
      </c>
      <c r="E127" s="70" t="b">
        <v>0</v>
      </c>
      <c r="F127" s="94">
        <f>IF(C_124=TRUE,"N/A",0)</f>
        <v>0</v>
      </c>
      <c r="G127" s="44"/>
      <c r="H127" s="44"/>
      <c r="I127" s="44"/>
      <c r="J127" s="118"/>
      <c r="K127" s="118"/>
      <c r="L127" s="118"/>
      <c r="M127" s="118"/>
      <c r="N127" s="118"/>
      <c r="O127" s="118"/>
      <c r="P127" s="118"/>
    </row>
    <row r="128" spans="4:16" ht="15" hidden="1" x14ac:dyDescent="0.2">
      <c r="D128" s="102"/>
      <c r="E128" s="33" t="s">
        <v>127</v>
      </c>
      <c r="F128" s="97" t="str">
        <f>IF(COUNTIF(E124:E127,FALSE)=4,"No Rating Selected",IF(F127="N/A","N/A",SUM(F124:F126)))</f>
        <v>No Rating Selected</v>
      </c>
      <c r="G128" s="44"/>
      <c r="H128" s="44"/>
      <c r="I128" s="44"/>
      <c r="J128" s="118"/>
      <c r="K128" s="118"/>
      <c r="L128" s="118"/>
      <c r="M128" s="118"/>
      <c r="N128" s="118"/>
      <c r="O128" s="118"/>
      <c r="P128" s="118"/>
    </row>
    <row r="129" spans="4:16" ht="15" hidden="1" x14ac:dyDescent="0.2">
      <c r="D129" s="102"/>
      <c r="E129" s="33" t="s">
        <v>128</v>
      </c>
      <c r="F129" s="97">
        <f>IF(C_124=TRUE,0,5)</f>
        <v>5</v>
      </c>
      <c r="G129" s="44"/>
      <c r="H129" s="44"/>
      <c r="I129" s="44"/>
      <c r="J129" s="118"/>
      <c r="K129" s="118"/>
      <c r="L129" s="118"/>
      <c r="M129" s="118"/>
      <c r="N129" s="118"/>
      <c r="O129" s="118"/>
      <c r="P129" s="118"/>
    </row>
    <row r="130" spans="4:16" ht="15" hidden="1" x14ac:dyDescent="0.2">
      <c r="D130" s="102"/>
      <c r="E130" s="33" t="s">
        <v>129</v>
      </c>
      <c r="F130" s="97" t="b">
        <f>IF(COUNTIF(E124:E127,TRUE)=1,TRUE,FALSE)</f>
        <v>0</v>
      </c>
      <c r="G130" s="44"/>
      <c r="H130" s="44"/>
      <c r="I130" s="44"/>
      <c r="J130" s="118"/>
      <c r="K130" s="118"/>
      <c r="L130" s="118"/>
      <c r="M130" s="118"/>
      <c r="N130" s="118"/>
      <c r="O130" s="118"/>
      <c r="P130" s="118"/>
    </row>
    <row r="131" spans="4:16" hidden="1" x14ac:dyDescent="0.2">
      <c r="D131" s="98"/>
      <c r="E131" s="44"/>
      <c r="F131" s="99"/>
      <c r="G131" s="44"/>
      <c r="H131" s="44"/>
      <c r="I131" s="44"/>
      <c r="J131" s="118"/>
      <c r="K131" s="118"/>
      <c r="L131" s="118"/>
      <c r="M131" s="118"/>
      <c r="N131" s="118"/>
      <c r="O131" s="118"/>
      <c r="P131" s="118"/>
    </row>
    <row r="132" spans="4:16" hidden="1" x14ac:dyDescent="0.2">
      <c r="D132" s="100"/>
      <c r="E132" s="51" t="s">
        <v>131</v>
      </c>
      <c r="F132" s="101"/>
      <c r="G132" s="44"/>
      <c r="H132" s="44"/>
      <c r="I132" s="44"/>
      <c r="J132" s="118"/>
      <c r="K132" s="118"/>
      <c r="L132" s="118"/>
      <c r="M132" s="118"/>
      <c r="N132" s="118"/>
      <c r="O132" s="118"/>
      <c r="P132" s="118"/>
    </row>
    <row r="133" spans="4:16" hidden="1" x14ac:dyDescent="0.2">
      <c r="D133" s="91" t="s">
        <v>123</v>
      </c>
      <c r="E133" s="69" t="b">
        <v>0</v>
      </c>
      <c r="F133" s="92">
        <f>IF(C_131=TRUE,5,0)</f>
        <v>0</v>
      </c>
      <c r="G133" s="44"/>
      <c r="H133" s="44"/>
      <c r="I133" s="44"/>
      <c r="J133" s="118"/>
      <c r="K133" s="118"/>
      <c r="L133" s="118"/>
      <c r="M133" s="118"/>
      <c r="N133" s="118"/>
      <c r="O133" s="118"/>
      <c r="P133" s="118"/>
    </row>
    <row r="134" spans="4:16" hidden="1" x14ac:dyDescent="0.2">
      <c r="D134" s="93" t="s">
        <v>124</v>
      </c>
      <c r="E134" s="77" t="b">
        <v>0</v>
      </c>
      <c r="F134" s="94">
        <f>IF(C_132=TRUE,3,0)</f>
        <v>0</v>
      </c>
      <c r="G134" s="44"/>
      <c r="H134" s="44"/>
      <c r="I134" s="44"/>
      <c r="J134" s="118"/>
      <c r="K134" s="118"/>
      <c r="L134" s="118"/>
      <c r="M134" s="118"/>
      <c r="N134" s="118"/>
      <c r="O134" s="118"/>
      <c r="P134" s="118"/>
    </row>
    <row r="135" spans="4:16" hidden="1" x14ac:dyDescent="0.2">
      <c r="D135" s="93" t="s">
        <v>125</v>
      </c>
      <c r="E135" s="77" t="b">
        <v>0</v>
      </c>
      <c r="F135" s="94">
        <f>IF(C_133=TRUE,1,0)</f>
        <v>0</v>
      </c>
      <c r="G135" s="44"/>
      <c r="H135" s="44"/>
      <c r="I135" s="44"/>
      <c r="J135" s="118"/>
      <c r="K135" s="118"/>
      <c r="L135" s="118"/>
      <c r="M135" s="118"/>
      <c r="N135" s="118"/>
      <c r="O135" s="118"/>
      <c r="P135" s="118"/>
    </row>
    <row r="136" spans="4:16" hidden="1" x14ac:dyDescent="0.2">
      <c r="D136" s="93" t="s">
        <v>126</v>
      </c>
      <c r="E136" s="77" t="b">
        <v>0</v>
      </c>
      <c r="F136" s="103">
        <f>IF(C_134=TRUE,"N/A",0)</f>
        <v>0</v>
      </c>
      <c r="G136" s="44"/>
      <c r="H136" s="44"/>
      <c r="I136" s="44"/>
      <c r="J136" s="118"/>
      <c r="K136" s="118"/>
      <c r="L136" s="118"/>
      <c r="M136" s="118"/>
      <c r="N136" s="118"/>
      <c r="O136" s="118"/>
      <c r="P136" s="118"/>
    </row>
    <row r="137" spans="4:16" ht="15" hidden="1" x14ac:dyDescent="0.2">
      <c r="D137" s="104"/>
      <c r="E137" s="33" t="s">
        <v>127</v>
      </c>
      <c r="F137" s="97" t="str">
        <f>IF(COUNTIF(E133:E136,FALSE)=4,"No Rating Selected",IF(F136="N/A","N/A",SUM(F133:F135)))</f>
        <v>No Rating Selected</v>
      </c>
      <c r="G137" s="44"/>
      <c r="H137" s="44"/>
      <c r="I137" s="44"/>
      <c r="J137" s="118"/>
      <c r="K137" s="118"/>
      <c r="L137" s="118"/>
      <c r="M137" s="118"/>
      <c r="N137" s="118"/>
      <c r="O137" s="118"/>
      <c r="P137" s="118"/>
    </row>
    <row r="138" spans="4:16" ht="15" hidden="1" x14ac:dyDescent="0.2">
      <c r="D138" s="104"/>
      <c r="E138" s="33" t="s">
        <v>128</v>
      </c>
      <c r="F138" s="97">
        <f>IF(C_134=TRUE,0,5)</f>
        <v>5</v>
      </c>
      <c r="G138" s="44"/>
      <c r="H138" s="44"/>
      <c r="I138" s="44"/>
      <c r="J138" s="118"/>
      <c r="K138" s="118"/>
      <c r="L138" s="118"/>
      <c r="M138" s="118"/>
      <c r="N138" s="118"/>
      <c r="O138" s="118"/>
      <c r="P138" s="118"/>
    </row>
    <row r="139" spans="4:16" ht="15" hidden="1" x14ac:dyDescent="0.2">
      <c r="D139" s="96"/>
      <c r="E139" s="33" t="s">
        <v>129</v>
      </c>
      <c r="F139" s="97" t="b">
        <f>IF(COUNTIF(E133:E136,TRUE)=1,TRUE,FALSE)</f>
        <v>0</v>
      </c>
      <c r="G139" s="44"/>
      <c r="H139" s="44"/>
      <c r="I139" s="44"/>
      <c r="J139" s="118"/>
      <c r="K139" s="118"/>
      <c r="L139" s="118"/>
      <c r="M139" s="118"/>
      <c r="N139" s="118"/>
      <c r="O139" s="118"/>
      <c r="P139" s="118"/>
    </row>
    <row r="140" spans="4:16" hidden="1" x14ac:dyDescent="0.2">
      <c r="D140" s="98"/>
      <c r="E140" s="44"/>
      <c r="F140" s="99"/>
      <c r="G140" s="44"/>
      <c r="H140" s="44"/>
      <c r="I140" s="44"/>
      <c r="J140" s="118"/>
      <c r="K140" s="118"/>
      <c r="L140" s="118"/>
      <c r="M140" s="118"/>
      <c r="N140" s="118"/>
      <c r="O140" s="118"/>
      <c r="P140" s="118"/>
    </row>
    <row r="141" spans="4:16" hidden="1" x14ac:dyDescent="0.2">
      <c r="D141" s="100"/>
      <c r="E141" s="51" t="s">
        <v>132</v>
      </c>
      <c r="F141" s="101"/>
      <c r="G141" s="44"/>
      <c r="H141" s="44"/>
      <c r="I141" s="44"/>
      <c r="J141" s="118"/>
      <c r="K141" s="118"/>
      <c r="L141" s="118"/>
      <c r="M141" s="118"/>
      <c r="N141" s="118"/>
      <c r="O141" s="118"/>
      <c r="P141" s="118"/>
    </row>
    <row r="142" spans="4:16" hidden="1" x14ac:dyDescent="0.2">
      <c r="D142" s="91" t="s">
        <v>123</v>
      </c>
      <c r="E142" s="69" t="b">
        <v>0</v>
      </c>
      <c r="F142" s="92">
        <f>IF(C_141=TRUE,5,0)</f>
        <v>0</v>
      </c>
      <c r="G142" s="44"/>
      <c r="H142" s="44"/>
      <c r="I142" s="44"/>
      <c r="J142" s="118"/>
      <c r="K142" s="118"/>
      <c r="L142" s="118"/>
      <c r="M142" s="118"/>
      <c r="N142" s="118"/>
      <c r="O142" s="118"/>
      <c r="P142" s="118"/>
    </row>
    <row r="143" spans="4:16" hidden="1" x14ac:dyDescent="0.2">
      <c r="D143" s="93" t="s">
        <v>124</v>
      </c>
      <c r="E143" s="70" t="b">
        <v>0</v>
      </c>
      <c r="F143" s="94">
        <f>IF(C_142=TRUE,3,0)</f>
        <v>0</v>
      </c>
      <c r="G143" s="44"/>
      <c r="H143" s="44"/>
      <c r="I143" s="44"/>
      <c r="J143" s="118"/>
      <c r="K143" s="118"/>
      <c r="L143" s="118"/>
      <c r="M143" s="118"/>
      <c r="N143" s="118"/>
      <c r="O143" s="118"/>
      <c r="P143" s="118"/>
    </row>
    <row r="144" spans="4:16" hidden="1" x14ac:dyDescent="0.2">
      <c r="D144" s="93" t="s">
        <v>125</v>
      </c>
      <c r="E144" s="77" t="b">
        <v>0</v>
      </c>
      <c r="F144" s="94">
        <f>IF(C_143=TRUE,1,0)</f>
        <v>0</v>
      </c>
      <c r="G144" s="44"/>
      <c r="H144" s="44"/>
      <c r="I144" s="44"/>
      <c r="J144" s="118"/>
      <c r="K144" s="118"/>
      <c r="L144" s="118"/>
      <c r="M144" s="118"/>
      <c r="N144" s="118"/>
      <c r="O144" s="118"/>
      <c r="P144" s="118"/>
    </row>
    <row r="145" spans="4:16" hidden="1" x14ac:dyDescent="0.2">
      <c r="D145" s="95" t="s">
        <v>126</v>
      </c>
      <c r="E145" s="77" t="b">
        <v>0</v>
      </c>
      <c r="F145" s="94">
        <f>IF(C_144=TRUE,"N/A",0)</f>
        <v>0</v>
      </c>
      <c r="G145" s="44"/>
      <c r="H145" s="44"/>
      <c r="I145" s="44"/>
      <c r="J145" s="118"/>
      <c r="K145" s="118"/>
      <c r="L145" s="118"/>
      <c r="M145" s="118"/>
      <c r="N145" s="118"/>
      <c r="O145" s="118"/>
      <c r="P145" s="118"/>
    </row>
    <row r="146" spans="4:16" ht="15" hidden="1" x14ac:dyDescent="0.2">
      <c r="D146" s="104"/>
      <c r="E146" s="33" t="s">
        <v>127</v>
      </c>
      <c r="F146" s="97" t="str">
        <f>IF(COUNTIF(E142:E145,FALSE)=4,"No Rating Selected",IF(F145="N/A","N/A",SUM(F142:F144)))</f>
        <v>No Rating Selected</v>
      </c>
      <c r="G146" s="44"/>
      <c r="H146" s="44"/>
      <c r="I146" s="44"/>
      <c r="J146" s="118"/>
      <c r="K146" s="118"/>
      <c r="L146" s="118"/>
      <c r="M146" s="118"/>
      <c r="N146" s="118"/>
      <c r="O146" s="118"/>
      <c r="P146" s="118"/>
    </row>
    <row r="147" spans="4:16" ht="15" hidden="1" x14ac:dyDescent="0.2">
      <c r="D147" s="104"/>
      <c r="E147" s="33" t="s">
        <v>128</v>
      </c>
      <c r="F147" s="97">
        <f>IF(C_144=TRUE,0,5)</f>
        <v>5</v>
      </c>
      <c r="G147" s="44"/>
      <c r="H147" s="44"/>
      <c r="I147" s="44"/>
      <c r="J147" s="118"/>
      <c r="K147" s="118"/>
      <c r="L147" s="118"/>
      <c r="M147" s="118"/>
      <c r="N147" s="118"/>
      <c r="O147" s="118"/>
      <c r="P147" s="118"/>
    </row>
    <row r="148" spans="4:16" ht="15" hidden="1" x14ac:dyDescent="0.2">
      <c r="D148" s="96"/>
      <c r="E148" s="33" t="s">
        <v>129</v>
      </c>
      <c r="F148" s="97" t="b">
        <f>IF(COUNTIF(E142:E145,TRUE)=1,TRUE,FALSE)</f>
        <v>0</v>
      </c>
      <c r="G148" s="44"/>
      <c r="H148" s="44"/>
      <c r="I148" s="44"/>
      <c r="J148" s="118"/>
      <c r="K148" s="118"/>
      <c r="L148" s="118"/>
      <c r="M148" s="118"/>
      <c r="N148" s="118"/>
      <c r="O148" s="118"/>
      <c r="P148" s="118"/>
    </row>
    <row r="149" spans="4:16" ht="15" hidden="1" x14ac:dyDescent="0.2">
      <c r="D149" s="105"/>
      <c r="E149" s="106"/>
      <c r="F149" s="107"/>
      <c r="G149" s="44"/>
      <c r="H149" s="44"/>
      <c r="I149" s="44"/>
      <c r="J149" s="118"/>
      <c r="K149" s="118"/>
      <c r="L149" s="118"/>
      <c r="M149" s="118"/>
      <c r="N149" s="118"/>
      <c r="O149" s="118"/>
      <c r="P149" s="118"/>
    </row>
    <row r="150" spans="4:16" ht="15" hidden="1" x14ac:dyDescent="0.2">
      <c r="D150" s="108"/>
      <c r="E150" s="50" t="s">
        <v>133</v>
      </c>
      <c r="F150" s="109"/>
      <c r="G150" s="44"/>
      <c r="H150" s="44"/>
      <c r="I150" s="44"/>
      <c r="J150" s="118"/>
      <c r="K150" s="118"/>
      <c r="L150" s="118"/>
      <c r="M150" s="118"/>
      <c r="N150" s="118"/>
      <c r="O150" s="118"/>
      <c r="P150" s="118"/>
    </row>
    <row r="151" spans="4:16" hidden="1" x14ac:dyDescent="0.2">
      <c r="D151" s="91" t="s">
        <v>123</v>
      </c>
      <c r="E151" s="69" t="b">
        <v>0</v>
      </c>
      <c r="F151" s="92">
        <f>IF(C_151=TRUE,5,0)</f>
        <v>0</v>
      </c>
      <c r="G151" s="44"/>
      <c r="H151" s="44"/>
      <c r="I151" s="44"/>
      <c r="J151" s="118"/>
      <c r="K151" s="118"/>
      <c r="L151" s="118"/>
      <c r="M151" s="118"/>
      <c r="N151" s="118"/>
      <c r="O151" s="118"/>
      <c r="P151" s="118"/>
    </row>
    <row r="152" spans="4:16" hidden="1" x14ac:dyDescent="0.2">
      <c r="D152" s="93" t="s">
        <v>134</v>
      </c>
      <c r="E152" s="70" t="b">
        <v>0</v>
      </c>
      <c r="F152" s="94">
        <f>IF(C_152=TRUE,3,0)</f>
        <v>0</v>
      </c>
      <c r="G152" s="44"/>
      <c r="H152" s="44"/>
      <c r="I152" s="44"/>
      <c r="J152" s="118"/>
      <c r="K152" s="118"/>
      <c r="L152" s="118"/>
      <c r="M152" s="118"/>
      <c r="N152" s="118"/>
      <c r="O152" s="118"/>
      <c r="P152" s="118"/>
    </row>
    <row r="153" spans="4:16" hidden="1" x14ac:dyDescent="0.2">
      <c r="D153" s="93" t="s">
        <v>135</v>
      </c>
      <c r="E153" s="77" t="b">
        <v>0</v>
      </c>
      <c r="F153" s="94">
        <f>IF(C_153=TRUE,1,0)</f>
        <v>0</v>
      </c>
      <c r="G153" s="44"/>
      <c r="H153" s="44"/>
      <c r="I153" s="44"/>
      <c r="J153" s="118"/>
      <c r="K153" s="118"/>
      <c r="L153" s="118"/>
      <c r="M153" s="118"/>
      <c r="N153" s="118"/>
      <c r="O153" s="118"/>
      <c r="P153" s="118"/>
    </row>
    <row r="154" spans="4:16" hidden="1" x14ac:dyDescent="0.2">
      <c r="D154" s="95" t="s">
        <v>126</v>
      </c>
      <c r="E154" s="77" t="b">
        <v>0</v>
      </c>
      <c r="F154" s="94">
        <f>IF(C_154=TRUE,"N/A",0)</f>
        <v>0</v>
      </c>
      <c r="G154" s="44"/>
      <c r="H154" s="44"/>
      <c r="I154" s="44"/>
      <c r="J154" s="118"/>
      <c r="K154" s="118"/>
      <c r="L154" s="118"/>
      <c r="M154" s="118"/>
      <c r="N154" s="118"/>
      <c r="O154" s="118"/>
      <c r="P154" s="118"/>
    </row>
    <row r="155" spans="4:16" ht="15" hidden="1" x14ac:dyDescent="0.2">
      <c r="D155" s="104"/>
      <c r="E155" s="33" t="s">
        <v>127</v>
      </c>
      <c r="F155" s="97" t="str">
        <f>IF(COUNTIF(E151:E154,FALSE)=4,"No Rating Selected",IF(F154="N/A","N/A",SUM(F151:F153)))</f>
        <v>No Rating Selected</v>
      </c>
      <c r="G155" s="44"/>
      <c r="H155" s="44"/>
      <c r="I155" s="44"/>
      <c r="J155" s="118"/>
      <c r="K155" s="118"/>
      <c r="L155" s="118"/>
      <c r="M155" s="118"/>
      <c r="N155" s="118"/>
      <c r="O155" s="118"/>
      <c r="P155" s="118"/>
    </row>
    <row r="156" spans="4:16" ht="15" hidden="1" x14ac:dyDescent="0.2">
      <c r="D156" s="104"/>
      <c r="E156" s="33" t="s">
        <v>128</v>
      </c>
      <c r="F156" s="97">
        <f>IF(C_154=TRUE,0,5)</f>
        <v>5</v>
      </c>
      <c r="G156" s="44"/>
      <c r="H156" s="44"/>
      <c r="I156" s="44"/>
      <c r="J156" s="118"/>
      <c r="K156" s="118"/>
      <c r="L156" s="118"/>
      <c r="M156" s="118"/>
      <c r="N156" s="118"/>
      <c r="O156" s="118"/>
      <c r="P156" s="118"/>
    </row>
    <row r="157" spans="4:16" ht="15.75" hidden="1" thickBot="1" x14ac:dyDescent="0.25">
      <c r="D157" s="110"/>
      <c r="E157" s="42" t="s">
        <v>129</v>
      </c>
      <c r="F157" s="111" t="b">
        <f>IF(COUNTIF(E151:E154,TRUE)=1,TRUE,FALSE)</f>
        <v>0</v>
      </c>
      <c r="G157" s="44"/>
      <c r="H157" s="44"/>
      <c r="I157" s="44"/>
      <c r="J157" s="118"/>
      <c r="K157" s="118"/>
      <c r="L157" s="118"/>
      <c r="M157" s="118"/>
      <c r="N157" s="118"/>
      <c r="O157" s="118"/>
      <c r="P157" s="118"/>
    </row>
    <row r="158" spans="4:16" ht="15.75" hidden="1" thickTop="1" x14ac:dyDescent="0.2">
      <c r="D158" s="105"/>
      <c r="E158" s="106"/>
      <c r="F158" s="107"/>
      <c r="G158" s="44"/>
      <c r="H158" s="44"/>
      <c r="I158" s="44"/>
      <c r="J158" s="118"/>
      <c r="K158" s="118"/>
      <c r="L158" s="118"/>
      <c r="M158" s="118"/>
      <c r="N158" s="118"/>
      <c r="O158" s="118"/>
      <c r="P158" s="118"/>
    </row>
    <row r="159" spans="4:16" ht="15" hidden="1" x14ac:dyDescent="0.2">
      <c r="D159" s="108"/>
      <c r="E159" s="50" t="s">
        <v>136</v>
      </c>
      <c r="F159" s="109"/>
      <c r="G159" s="44"/>
      <c r="H159" s="44"/>
      <c r="I159" s="44"/>
      <c r="J159" s="118"/>
      <c r="K159" s="118"/>
      <c r="L159" s="118"/>
      <c r="M159" s="118"/>
      <c r="N159" s="118"/>
      <c r="O159" s="118"/>
      <c r="P159" s="118"/>
    </row>
    <row r="160" spans="4:16" hidden="1" x14ac:dyDescent="0.2">
      <c r="D160" s="91" t="s">
        <v>123</v>
      </c>
      <c r="E160" s="69" t="b">
        <v>0</v>
      </c>
      <c r="F160" s="92" t="s">
        <v>137</v>
      </c>
      <c r="G160" s="44"/>
      <c r="H160" s="44"/>
      <c r="I160" s="44"/>
      <c r="J160" s="118"/>
      <c r="K160" s="118"/>
      <c r="L160" s="118"/>
      <c r="M160" s="118"/>
      <c r="N160" s="118"/>
      <c r="O160" s="118"/>
      <c r="P160" s="118"/>
    </row>
    <row r="161" spans="4:16" hidden="1" x14ac:dyDescent="0.2">
      <c r="D161" s="93" t="s">
        <v>134</v>
      </c>
      <c r="E161" s="70" t="b">
        <v>0</v>
      </c>
      <c r="F161" s="94" t="s">
        <v>138</v>
      </c>
      <c r="G161" s="44"/>
      <c r="H161" s="44"/>
      <c r="I161" s="44"/>
      <c r="J161" s="118"/>
      <c r="K161" s="118"/>
      <c r="L161" s="118"/>
      <c r="M161" s="118"/>
      <c r="N161" s="118"/>
      <c r="O161" s="118"/>
      <c r="P161" s="118"/>
    </row>
    <row r="162" spans="4:16" hidden="1" x14ac:dyDescent="0.2">
      <c r="D162" s="93" t="s">
        <v>135</v>
      </c>
      <c r="E162" s="77" t="b">
        <v>0</v>
      </c>
      <c r="F162" s="94" t="s">
        <v>139</v>
      </c>
      <c r="G162" s="44"/>
      <c r="H162" s="44"/>
      <c r="I162" s="44"/>
      <c r="J162" s="118"/>
      <c r="K162" s="118"/>
      <c r="L162" s="118"/>
      <c r="M162" s="118"/>
      <c r="N162" s="118"/>
      <c r="O162" s="118"/>
      <c r="P162" s="118"/>
    </row>
    <row r="163" spans="4:16" hidden="1" x14ac:dyDescent="0.2">
      <c r="D163" s="95" t="s">
        <v>126</v>
      </c>
      <c r="E163" s="77" t="b">
        <v>1</v>
      </c>
      <c r="F163" s="94" t="s">
        <v>140</v>
      </c>
      <c r="G163" s="44"/>
      <c r="H163" s="44"/>
      <c r="I163" s="44"/>
      <c r="J163" s="118"/>
      <c r="K163" s="118"/>
      <c r="L163" s="118"/>
      <c r="M163" s="118"/>
      <c r="N163" s="118"/>
      <c r="O163" s="118"/>
      <c r="P163" s="118"/>
    </row>
    <row r="164" spans="4:16" ht="15" hidden="1" x14ac:dyDescent="0.2">
      <c r="D164" s="104"/>
      <c r="E164" s="33" t="s">
        <v>127</v>
      </c>
      <c r="F164" s="112" t="s">
        <v>141</v>
      </c>
      <c r="G164" s="44"/>
      <c r="H164" s="44"/>
      <c r="I164" s="44"/>
      <c r="J164" s="118"/>
      <c r="K164" s="118"/>
      <c r="L164" s="118"/>
      <c r="M164" s="118"/>
      <c r="N164" s="118"/>
      <c r="O164" s="118"/>
      <c r="P164" s="118"/>
    </row>
    <row r="165" spans="4:16" ht="15" hidden="1" x14ac:dyDescent="0.2">
      <c r="D165" s="104"/>
      <c r="E165" s="33" t="s">
        <v>116</v>
      </c>
      <c r="F165" s="112" t="s">
        <v>142</v>
      </c>
      <c r="G165" s="44"/>
      <c r="H165" s="44"/>
      <c r="I165" s="44"/>
      <c r="J165" s="118"/>
      <c r="K165" s="118"/>
      <c r="L165" s="118"/>
      <c r="M165" s="118"/>
      <c r="N165" s="118"/>
      <c r="O165" s="118"/>
      <c r="P165" s="118"/>
    </row>
    <row r="166" spans="4:16" ht="15.75" hidden="1" thickBot="1" x14ac:dyDescent="0.25">
      <c r="D166" s="110"/>
      <c r="E166" s="42" t="s">
        <v>129</v>
      </c>
      <c r="F166" s="113" t="s">
        <v>143</v>
      </c>
      <c r="G166" s="44"/>
      <c r="H166" s="44"/>
      <c r="I166" s="44"/>
      <c r="J166" s="118"/>
      <c r="K166" s="118"/>
      <c r="L166" s="118"/>
      <c r="M166" s="118"/>
      <c r="N166" s="118"/>
      <c r="O166" s="118"/>
      <c r="P166" s="118"/>
    </row>
    <row r="167" spans="4:16" hidden="1" x14ac:dyDescent="0.2">
      <c r="D167" s="98"/>
      <c r="E167" s="44"/>
      <c r="F167" s="99"/>
      <c r="G167" s="44"/>
      <c r="H167" s="44"/>
      <c r="I167" s="44"/>
      <c r="J167" s="118"/>
      <c r="K167" s="118"/>
      <c r="L167" s="118"/>
      <c r="M167" s="118"/>
      <c r="N167" s="118"/>
      <c r="O167" s="118"/>
      <c r="P167" s="118"/>
    </row>
    <row r="168" spans="4:16" ht="15" hidden="1" x14ac:dyDescent="0.25">
      <c r="D168" s="197" t="s">
        <v>144</v>
      </c>
      <c r="E168" s="198"/>
      <c r="F168" s="97" t="str">
        <f>IF(COUNTIF(E115:E154,FALSE)=20,"Status: Not Yet Started",IF(COUNTIF(F115:F157,TRUE)=5,"Status: Completed","Status: Work in Progress"))</f>
        <v>Status: Not Yet Started</v>
      </c>
      <c r="G168" s="44"/>
      <c r="H168" s="44"/>
      <c r="I168" s="44"/>
      <c r="J168" s="118"/>
      <c r="K168" s="118"/>
      <c r="L168" s="118"/>
      <c r="M168" s="118"/>
      <c r="N168" s="118"/>
      <c r="O168" s="118"/>
      <c r="P168" s="118"/>
    </row>
    <row r="169" spans="4:16" ht="15.75" hidden="1" thickBot="1" x14ac:dyDescent="0.25">
      <c r="D169" s="261" t="s">
        <v>145</v>
      </c>
      <c r="E169" s="262"/>
      <c r="F169" s="114">
        <f>SUM(F120,F129,F138,F147,F156)</f>
        <v>25</v>
      </c>
      <c r="G169" s="44"/>
      <c r="H169" s="44"/>
      <c r="I169" s="44"/>
      <c r="J169" s="118"/>
      <c r="K169" s="118"/>
      <c r="L169" s="118"/>
      <c r="M169" s="118"/>
      <c r="N169" s="118"/>
      <c r="O169" s="118"/>
      <c r="P169" s="118"/>
    </row>
    <row r="170" spans="4:16" hidden="1" x14ac:dyDescent="0.2">
      <c r="D170" s="44"/>
      <c r="E170" s="44"/>
      <c r="F170" s="44"/>
      <c r="G170" s="44"/>
      <c r="H170" s="44"/>
      <c r="I170" s="44"/>
      <c r="J170" s="118"/>
      <c r="K170" s="118"/>
      <c r="L170" s="118"/>
      <c r="M170" s="118"/>
      <c r="N170" s="118"/>
      <c r="O170" s="118"/>
      <c r="P170" s="118"/>
    </row>
    <row r="171" spans="4:16" ht="15" hidden="1" thickBot="1" x14ac:dyDescent="0.25">
      <c r="D171" s="44"/>
      <c r="E171" s="44"/>
      <c r="F171" s="44"/>
      <c r="G171" s="44"/>
      <c r="H171" s="44"/>
      <c r="I171" s="78"/>
      <c r="J171" s="118"/>
      <c r="K171" s="118"/>
      <c r="L171" s="118"/>
      <c r="M171" s="118"/>
      <c r="N171" s="118"/>
      <c r="O171" s="118"/>
      <c r="P171" s="118"/>
    </row>
    <row r="172" spans="4:16" ht="15.75" hidden="1" thickBot="1" x14ac:dyDescent="0.3">
      <c r="D172" s="255" t="s">
        <v>146</v>
      </c>
      <c r="E172" s="256"/>
      <c r="F172" s="257"/>
      <c r="G172" s="44"/>
      <c r="H172" s="44"/>
      <c r="I172" s="78"/>
      <c r="J172" s="118"/>
      <c r="K172" s="118"/>
      <c r="L172" s="118"/>
      <c r="M172" s="118"/>
      <c r="N172" s="118"/>
      <c r="O172" s="118"/>
      <c r="P172" s="118"/>
    </row>
    <row r="173" spans="4:16" hidden="1" x14ac:dyDescent="0.2">
      <c r="D173" s="89"/>
      <c r="E173" s="88" t="s">
        <v>122</v>
      </c>
      <c r="F173" s="90"/>
      <c r="G173" s="44"/>
      <c r="H173" s="44"/>
      <c r="I173" s="78"/>
      <c r="J173" s="118"/>
      <c r="K173" s="118"/>
      <c r="L173" s="118"/>
      <c r="M173" s="118"/>
      <c r="N173" s="118"/>
      <c r="O173" s="118"/>
      <c r="P173" s="118"/>
    </row>
    <row r="174" spans="4:16" hidden="1" x14ac:dyDescent="0.2">
      <c r="D174" s="91" t="s">
        <v>123</v>
      </c>
      <c r="E174" s="69" t="b">
        <v>0</v>
      </c>
      <c r="F174" s="92">
        <f>IF(C_211=TRUE,5,0)</f>
        <v>0</v>
      </c>
      <c r="G174" s="44"/>
      <c r="H174" s="44"/>
      <c r="I174" s="78"/>
      <c r="J174" s="118"/>
      <c r="K174" s="118"/>
      <c r="L174" s="118"/>
      <c r="M174" s="118"/>
      <c r="N174" s="118"/>
      <c r="O174" s="118"/>
      <c r="P174" s="118"/>
    </row>
    <row r="175" spans="4:16" hidden="1" x14ac:dyDescent="0.2">
      <c r="D175" s="93" t="s">
        <v>124</v>
      </c>
      <c r="E175" s="70" t="b">
        <v>0</v>
      </c>
      <c r="F175" s="94">
        <f>IF(C_212=TRUE,3,0)</f>
        <v>0</v>
      </c>
      <c r="G175" s="44"/>
      <c r="H175" s="44"/>
      <c r="I175" s="78"/>
      <c r="J175" s="118"/>
      <c r="K175" s="118"/>
      <c r="L175" s="118"/>
      <c r="M175" s="118"/>
      <c r="N175" s="118"/>
      <c r="O175" s="118"/>
      <c r="P175" s="118"/>
    </row>
    <row r="176" spans="4:16" hidden="1" x14ac:dyDescent="0.2">
      <c r="D176" s="93" t="s">
        <v>125</v>
      </c>
      <c r="E176" s="70" t="b">
        <v>0</v>
      </c>
      <c r="F176" s="94">
        <f>IF(C_213=TRUE,1,0)</f>
        <v>0</v>
      </c>
      <c r="G176" s="44"/>
      <c r="H176" s="44"/>
      <c r="I176" s="78"/>
      <c r="J176" s="118"/>
      <c r="K176" s="118"/>
      <c r="L176" s="118"/>
      <c r="M176" s="118"/>
      <c r="N176" s="118"/>
      <c r="O176" s="118"/>
      <c r="P176" s="118"/>
    </row>
    <row r="177" spans="4:16" hidden="1" x14ac:dyDescent="0.2">
      <c r="D177" s="95" t="s">
        <v>126</v>
      </c>
      <c r="E177" s="77" t="b">
        <v>0</v>
      </c>
      <c r="F177" s="94">
        <f>IF(C_214=TRUE,"N/A",0)</f>
        <v>0</v>
      </c>
      <c r="G177" s="44"/>
      <c r="H177" s="44"/>
      <c r="I177" s="78"/>
      <c r="J177" s="118"/>
      <c r="K177" s="118"/>
      <c r="L177" s="118"/>
      <c r="M177" s="118"/>
      <c r="N177" s="118"/>
      <c r="O177" s="118"/>
      <c r="P177" s="118"/>
    </row>
    <row r="178" spans="4:16" ht="15" hidden="1" x14ac:dyDescent="0.2">
      <c r="D178" s="96"/>
      <c r="E178" s="33" t="s">
        <v>127</v>
      </c>
      <c r="F178" s="97" t="str">
        <f>IF(COUNTIF(E174:E177,FALSE)=4,"No Rating Selected",IF(F177="N/A","N/A",SUM(F174:F176)))</f>
        <v>No Rating Selected</v>
      </c>
      <c r="G178" s="44"/>
      <c r="H178" s="44"/>
      <c r="I178" s="78"/>
      <c r="J178" s="118"/>
      <c r="K178" s="118"/>
      <c r="L178" s="118"/>
      <c r="M178" s="118"/>
      <c r="N178" s="118"/>
      <c r="O178" s="118"/>
      <c r="P178" s="118"/>
    </row>
    <row r="179" spans="4:16" ht="15" hidden="1" x14ac:dyDescent="0.2">
      <c r="D179" s="96"/>
      <c r="E179" s="33" t="s">
        <v>128</v>
      </c>
      <c r="F179" s="97">
        <f>IF(C_214=TRUE,0,5)</f>
        <v>5</v>
      </c>
      <c r="G179" s="44"/>
      <c r="H179" s="44"/>
      <c r="I179" s="44"/>
      <c r="J179" s="118"/>
      <c r="K179" s="118"/>
      <c r="L179" s="118"/>
      <c r="M179" s="118"/>
      <c r="N179" s="118"/>
      <c r="O179" s="118"/>
      <c r="P179" s="118"/>
    </row>
    <row r="180" spans="4:16" ht="15" hidden="1" x14ac:dyDescent="0.2">
      <c r="D180" s="96"/>
      <c r="E180" s="33" t="s">
        <v>129</v>
      </c>
      <c r="F180" s="97" t="b">
        <f>IF(COUNTIF(E174:E177,TRUE)=1,TRUE,FALSE)</f>
        <v>0</v>
      </c>
      <c r="G180" s="44"/>
      <c r="H180" s="44"/>
      <c r="I180" s="44"/>
      <c r="J180" s="118"/>
      <c r="K180" s="118"/>
      <c r="L180" s="118"/>
      <c r="M180" s="118"/>
      <c r="N180" s="118"/>
      <c r="O180" s="118"/>
      <c r="P180" s="118"/>
    </row>
    <row r="181" spans="4:16" hidden="1" x14ac:dyDescent="0.2">
      <c r="D181" s="98"/>
      <c r="E181" s="44"/>
      <c r="F181" s="99"/>
      <c r="G181" s="44"/>
      <c r="H181" s="44"/>
      <c r="I181" s="44"/>
      <c r="J181" s="118"/>
      <c r="K181" s="118"/>
      <c r="L181" s="118"/>
      <c r="M181" s="118"/>
      <c r="N181" s="118"/>
      <c r="O181" s="118"/>
      <c r="P181" s="118"/>
    </row>
    <row r="182" spans="4:16" hidden="1" x14ac:dyDescent="0.2">
      <c r="D182" s="100"/>
      <c r="E182" s="51" t="s">
        <v>130</v>
      </c>
      <c r="F182" s="101"/>
      <c r="G182" s="44"/>
      <c r="H182" s="44"/>
      <c r="I182" s="44"/>
      <c r="J182" s="118"/>
      <c r="K182" s="118"/>
      <c r="L182" s="118"/>
      <c r="M182" s="118"/>
      <c r="N182" s="118"/>
      <c r="O182" s="118"/>
      <c r="P182" s="118"/>
    </row>
    <row r="183" spans="4:16" hidden="1" x14ac:dyDescent="0.2">
      <c r="D183" s="91" t="s">
        <v>123</v>
      </c>
      <c r="E183" s="69" t="b">
        <v>0</v>
      </c>
      <c r="F183" s="92">
        <f>IF(C_221=TRUE,5,0)</f>
        <v>0</v>
      </c>
      <c r="G183" s="44"/>
      <c r="H183" s="44"/>
      <c r="I183" s="44"/>
      <c r="J183" s="118"/>
      <c r="K183" s="118"/>
      <c r="L183" s="118"/>
      <c r="M183" s="118"/>
      <c r="N183" s="118"/>
      <c r="O183" s="118"/>
      <c r="P183" s="118"/>
    </row>
    <row r="184" spans="4:16" hidden="1" x14ac:dyDescent="0.2">
      <c r="D184" s="93" t="s">
        <v>124</v>
      </c>
      <c r="E184" s="77" t="b">
        <v>0</v>
      </c>
      <c r="F184" s="94">
        <f>IF(C_222=TRUE,3,0)</f>
        <v>0</v>
      </c>
      <c r="G184" s="44"/>
      <c r="H184" s="44"/>
      <c r="I184" s="44"/>
      <c r="J184" s="118"/>
      <c r="K184" s="118"/>
      <c r="L184" s="118"/>
      <c r="M184" s="118"/>
      <c r="N184" s="118"/>
      <c r="O184" s="118"/>
      <c r="P184" s="118"/>
    </row>
    <row r="185" spans="4:16" hidden="1" x14ac:dyDescent="0.2">
      <c r="D185" s="93" t="s">
        <v>125</v>
      </c>
      <c r="E185" s="77" t="b">
        <v>0</v>
      </c>
      <c r="F185" s="94">
        <f>IF(C_223=TRUE,1,0)</f>
        <v>0</v>
      </c>
      <c r="G185" s="44"/>
      <c r="H185" s="44"/>
      <c r="I185" s="44"/>
      <c r="J185" s="118"/>
      <c r="K185" s="118"/>
      <c r="L185" s="118"/>
      <c r="M185" s="118"/>
      <c r="N185" s="118"/>
      <c r="O185" s="118"/>
      <c r="P185" s="118"/>
    </row>
    <row r="186" spans="4:16" hidden="1" x14ac:dyDescent="0.2">
      <c r="D186" s="95" t="s">
        <v>126</v>
      </c>
      <c r="E186" s="77" t="b">
        <v>0</v>
      </c>
      <c r="F186" s="94">
        <f>IF(C_224=TRUE,"N/A",0)</f>
        <v>0</v>
      </c>
      <c r="G186" s="44"/>
      <c r="H186" s="44"/>
      <c r="I186" s="44"/>
      <c r="J186" s="118"/>
      <c r="K186" s="118"/>
      <c r="L186" s="118"/>
      <c r="M186" s="118"/>
      <c r="N186" s="118"/>
      <c r="O186" s="118"/>
      <c r="P186" s="118"/>
    </row>
    <row r="187" spans="4:16" ht="15" hidden="1" x14ac:dyDescent="0.2">
      <c r="D187" s="102"/>
      <c r="E187" s="33" t="s">
        <v>127</v>
      </c>
      <c r="F187" s="97" t="str">
        <f>IF(COUNTIF(E183:E186,FALSE)=4,"No Rating Selected",IF(F186="N/A","N/A",SUM(F183:F185)))</f>
        <v>No Rating Selected</v>
      </c>
      <c r="G187" s="44"/>
      <c r="H187" s="44"/>
      <c r="I187" s="44"/>
      <c r="J187" s="118"/>
      <c r="K187" s="118"/>
      <c r="L187" s="118"/>
      <c r="M187" s="118"/>
      <c r="N187" s="118"/>
      <c r="O187" s="118"/>
      <c r="P187" s="118"/>
    </row>
    <row r="188" spans="4:16" ht="15" hidden="1" x14ac:dyDescent="0.2">
      <c r="D188" s="102"/>
      <c r="E188" s="33" t="s">
        <v>128</v>
      </c>
      <c r="F188" s="97">
        <f>IF(C_224=TRUE,0,5)</f>
        <v>5</v>
      </c>
      <c r="G188" s="44"/>
      <c r="H188" s="44"/>
      <c r="I188" s="44"/>
      <c r="J188" s="118"/>
      <c r="K188" s="118"/>
      <c r="L188" s="118"/>
      <c r="M188" s="118"/>
      <c r="N188" s="118"/>
      <c r="O188" s="118"/>
      <c r="P188" s="118"/>
    </row>
    <row r="189" spans="4:16" ht="15" hidden="1" x14ac:dyDescent="0.2">
      <c r="D189" s="102"/>
      <c r="E189" s="33" t="s">
        <v>129</v>
      </c>
      <c r="F189" s="97" t="b">
        <f>IF(COUNTIF(E183:E186,TRUE)=1,TRUE,FALSE)</f>
        <v>0</v>
      </c>
      <c r="G189" s="44"/>
      <c r="H189" s="44"/>
      <c r="I189" s="44"/>
      <c r="J189" s="118"/>
      <c r="K189" s="118"/>
      <c r="L189" s="118"/>
      <c r="M189" s="118"/>
      <c r="N189" s="118"/>
      <c r="O189" s="118"/>
      <c r="P189" s="118"/>
    </row>
    <row r="190" spans="4:16" hidden="1" x14ac:dyDescent="0.2">
      <c r="D190" s="98"/>
      <c r="E190" s="44"/>
      <c r="F190" s="99"/>
      <c r="G190" s="44"/>
      <c r="H190" s="44"/>
      <c r="I190" s="44"/>
      <c r="J190" s="118"/>
      <c r="K190" s="118"/>
      <c r="L190" s="118"/>
      <c r="M190" s="118"/>
      <c r="N190" s="118"/>
      <c r="O190" s="118"/>
      <c r="P190" s="118"/>
    </row>
    <row r="191" spans="4:16" hidden="1" x14ac:dyDescent="0.2">
      <c r="D191" s="100"/>
      <c r="E191" s="51" t="s">
        <v>131</v>
      </c>
      <c r="F191" s="101"/>
      <c r="G191" s="44"/>
      <c r="H191" s="44"/>
      <c r="I191" s="44"/>
      <c r="J191" s="118"/>
      <c r="K191" s="118"/>
      <c r="L191" s="118"/>
      <c r="M191" s="118"/>
      <c r="N191" s="118"/>
      <c r="O191" s="118"/>
      <c r="P191" s="118"/>
    </row>
    <row r="192" spans="4:16" hidden="1" x14ac:dyDescent="0.2">
      <c r="D192" s="91" t="s">
        <v>123</v>
      </c>
      <c r="E192" s="69" t="b">
        <v>0</v>
      </c>
      <c r="F192" s="92">
        <f>IF(C_231=TRUE,5,0)</f>
        <v>0</v>
      </c>
      <c r="G192" s="44"/>
      <c r="H192" s="44"/>
      <c r="I192" s="44"/>
      <c r="J192" s="118"/>
      <c r="K192" s="118"/>
      <c r="L192" s="118"/>
      <c r="M192" s="118"/>
      <c r="N192" s="118"/>
      <c r="O192" s="118"/>
      <c r="P192" s="118"/>
    </row>
    <row r="193" spans="4:16" hidden="1" x14ac:dyDescent="0.2">
      <c r="D193" s="93" t="s">
        <v>124</v>
      </c>
      <c r="E193" s="77" t="b">
        <v>0</v>
      </c>
      <c r="F193" s="94">
        <f>IF(C_232=TRUE,3,0)</f>
        <v>0</v>
      </c>
      <c r="G193" s="44"/>
      <c r="H193" s="44"/>
      <c r="I193" s="44"/>
      <c r="J193" s="118"/>
      <c r="K193" s="118"/>
      <c r="L193" s="118"/>
      <c r="M193" s="118"/>
      <c r="N193" s="118"/>
      <c r="O193" s="118"/>
      <c r="P193" s="118"/>
    </row>
    <row r="194" spans="4:16" hidden="1" x14ac:dyDescent="0.2">
      <c r="D194" s="93" t="s">
        <v>125</v>
      </c>
      <c r="E194" s="77" t="b">
        <v>0</v>
      </c>
      <c r="F194" s="94">
        <f>IF(C_233=TRUE,1,0)</f>
        <v>0</v>
      </c>
      <c r="G194" s="44"/>
      <c r="H194" s="44"/>
      <c r="I194" s="44"/>
      <c r="J194" s="118"/>
      <c r="K194" s="118"/>
      <c r="L194" s="118"/>
      <c r="M194" s="118"/>
      <c r="N194" s="118"/>
      <c r="O194" s="118"/>
      <c r="P194" s="118"/>
    </row>
    <row r="195" spans="4:16" hidden="1" x14ac:dyDescent="0.2">
      <c r="D195" s="95" t="s">
        <v>126</v>
      </c>
      <c r="E195" s="77" t="b">
        <v>0</v>
      </c>
      <c r="F195" s="94">
        <f>IF(C_234=TRUE,"N/A",0)</f>
        <v>0</v>
      </c>
      <c r="G195" s="44"/>
      <c r="H195" s="44"/>
      <c r="I195" s="44"/>
      <c r="J195" s="118"/>
      <c r="K195" s="118"/>
      <c r="L195" s="118"/>
      <c r="M195" s="118"/>
      <c r="N195" s="118"/>
      <c r="O195" s="118"/>
      <c r="P195" s="118"/>
    </row>
    <row r="196" spans="4:16" ht="15" hidden="1" x14ac:dyDescent="0.2">
      <c r="D196" s="104"/>
      <c r="E196" s="33" t="s">
        <v>127</v>
      </c>
      <c r="F196" s="97" t="str">
        <f>IF(COUNTIF(E192:E195,FALSE)=4,"No Rating Selected",IF(F195="N/A","N/A",SUM(F192:F194)))</f>
        <v>No Rating Selected</v>
      </c>
      <c r="G196" s="44"/>
      <c r="H196" s="44"/>
      <c r="I196" s="44"/>
      <c r="J196" s="118"/>
      <c r="K196" s="118"/>
      <c r="L196" s="118"/>
      <c r="M196" s="118"/>
      <c r="N196" s="118"/>
      <c r="O196" s="118"/>
      <c r="P196" s="118"/>
    </row>
    <row r="197" spans="4:16" ht="15" hidden="1" x14ac:dyDescent="0.2">
      <c r="D197" s="104"/>
      <c r="E197" s="33" t="s">
        <v>128</v>
      </c>
      <c r="F197" s="97">
        <f>IF(C_234=TRUE,0,5)</f>
        <v>5</v>
      </c>
      <c r="G197" s="44"/>
      <c r="H197" s="44"/>
      <c r="I197" s="44"/>
      <c r="J197" s="118"/>
      <c r="K197" s="118"/>
      <c r="L197" s="118"/>
      <c r="M197" s="118"/>
      <c r="N197" s="118"/>
      <c r="O197" s="118"/>
      <c r="P197" s="118"/>
    </row>
    <row r="198" spans="4:16" ht="15" hidden="1" x14ac:dyDescent="0.2">
      <c r="D198" s="96"/>
      <c r="E198" s="33" t="s">
        <v>129</v>
      </c>
      <c r="F198" s="97" t="b">
        <f>IF(COUNTIF(E192:E195,TRUE)=1,TRUE,FALSE)</f>
        <v>0</v>
      </c>
      <c r="G198" s="44"/>
      <c r="H198" s="44"/>
      <c r="I198" s="44"/>
      <c r="J198" s="118"/>
      <c r="K198" s="118"/>
      <c r="L198" s="118"/>
      <c r="M198" s="118"/>
      <c r="N198" s="118"/>
      <c r="O198" s="118"/>
      <c r="P198" s="118"/>
    </row>
    <row r="199" spans="4:16" hidden="1" x14ac:dyDescent="0.2">
      <c r="D199" s="98"/>
      <c r="E199" s="44"/>
      <c r="F199" s="99"/>
      <c r="G199" s="44"/>
      <c r="H199" s="44"/>
      <c r="I199" s="44"/>
      <c r="J199" s="118"/>
      <c r="K199" s="118"/>
      <c r="L199" s="118"/>
      <c r="M199" s="118"/>
      <c r="N199" s="118"/>
      <c r="O199" s="118"/>
      <c r="P199" s="118"/>
    </row>
    <row r="200" spans="4:16" hidden="1" x14ac:dyDescent="0.2">
      <c r="D200" s="100"/>
      <c r="E200" s="51" t="s">
        <v>132</v>
      </c>
      <c r="F200" s="101"/>
      <c r="G200" s="44"/>
      <c r="H200" s="44"/>
      <c r="I200" s="44"/>
      <c r="J200" s="118"/>
      <c r="K200" s="118"/>
      <c r="L200" s="118"/>
      <c r="M200" s="118"/>
      <c r="N200" s="118"/>
      <c r="O200" s="118"/>
      <c r="P200" s="118"/>
    </row>
    <row r="201" spans="4:16" hidden="1" x14ac:dyDescent="0.2">
      <c r="D201" s="91" t="s">
        <v>123</v>
      </c>
      <c r="E201" s="69" t="b">
        <v>0</v>
      </c>
      <c r="F201" s="92">
        <f>IF(C_241=TRUE,5,0)</f>
        <v>0</v>
      </c>
      <c r="G201" s="44"/>
      <c r="H201" s="44"/>
      <c r="I201" s="44"/>
      <c r="J201" s="118"/>
      <c r="K201" s="118"/>
      <c r="L201" s="118"/>
      <c r="M201" s="118"/>
      <c r="N201" s="118"/>
      <c r="O201" s="118"/>
      <c r="P201" s="118"/>
    </row>
    <row r="202" spans="4:16" hidden="1" x14ac:dyDescent="0.2">
      <c r="D202" s="93" t="s">
        <v>124</v>
      </c>
      <c r="E202" s="77" t="b">
        <v>0</v>
      </c>
      <c r="F202" s="94">
        <f>IF(C_242=TRUE,3,0)</f>
        <v>0</v>
      </c>
      <c r="G202" s="44"/>
      <c r="H202" s="44"/>
      <c r="I202" s="44"/>
      <c r="J202" s="118"/>
      <c r="K202" s="118"/>
      <c r="L202" s="118"/>
      <c r="M202" s="118"/>
      <c r="N202" s="118"/>
      <c r="O202" s="118"/>
      <c r="P202" s="118"/>
    </row>
    <row r="203" spans="4:16" hidden="1" x14ac:dyDescent="0.2">
      <c r="D203" s="93" t="s">
        <v>125</v>
      </c>
      <c r="E203" s="77" t="b">
        <v>0</v>
      </c>
      <c r="F203" s="94">
        <f>IF(C_243=TRUE,1,0)</f>
        <v>0</v>
      </c>
      <c r="G203" s="44"/>
      <c r="H203" s="44"/>
      <c r="I203" s="44"/>
      <c r="J203" s="118"/>
      <c r="K203" s="118"/>
      <c r="L203" s="118"/>
      <c r="M203" s="118"/>
      <c r="N203" s="118"/>
      <c r="O203" s="118"/>
      <c r="P203" s="118"/>
    </row>
    <row r="204" spans="4:16" hidden="1" x14ac:dyDescent="0.2">
      <c r="D204" s="95" t="s">
        <v>126</v>
      </c>
      <c r="E204" s="77" t="b">
        <v>0</v>
      </c>
      <c r="F204" s="94">
        <f>IF(C_244=TRUE,"N/A",0)</f>
        <v>0</v>
      </c>
      <c r="G204" s="44"/>
      <c r="H204" s="44"/>
      <c r="I204" s="44"/>
      <c r="J204" s="118"/>
      <c r="K204" s="118"/>
      <c r="L204" s="118"/>
      <c r="M204" s="118"/>
      <c r="N204" s="118"/>
      <c r="O204" s="118"/>
      <c r="P204" s="118"/>
    </row>
    <row r="205" spans="4:16" ht="15" hidden="1" x14ac:dyDescent="0.2">
      <c r="D205" s="104"/>
      <c r="E205" s="33" t="s">
        <v>127</v>
      </c>
      <c r="F205" s="97" t="str">
        <f>IF(COUNTIF(E201:E204,FALSE)=4,"No Rating Selected",IF(F204="N/A","N/A",SUM(F201:F203)))</f>
        <v>No Rating Selected</v>
      </c>
      <c r="G205" s="44"/>
      <c r="H205" s="44"/>
      <c r="I205" s="44"/>
      <c r="J205" s="118"/>
      <c r="K205" s="118"/>
      <c r="L205" s="118"/>
      <c r="M205" s="118"/>
      <c r="N205" s="118"/>
      <c r="O205" s="118"/>
      <c r="P205" s="118"/>
    </row>
    <row r="206" spans="4:16" ht="15" hidden="1" x14ac:dyDescent="0.2">
      <c r="D206" s="104"/>
      <c r="E206" s="33" t="s">
        <v>128</v>
      </c>
      <c r="F206" s="97">
        <f>IF(C_244=TRUE,0,5)</f>
        <v>5</v>
      </c>
      <c r="G206" s="44"/>
      <c r="H206" s="44"/>
      <c r="I206" s="44"/>
      <c r="J206" s="118"/>
      <c r="K206" s="118"/>
      <c r="L206" s="118"/>
      <c r="M206" s="118"/>
      <c r="N206" s="118"/>
      <c r="O206" s="118"/>
      <c r="P206" s="118"/>
    </row>
    <row r="207" spans="4:16" ht="15" hidden="1" x14ac:dyDescent="0.2">
      <c r="D207" s="96"/>
      <c r="E207" s="33" t="s">
        <v>129</v>
      </c>
      <c r="F207" s="97" t="b">
        <f>IF(COUNTIF(E201:E204,TRUE)=1,TRUE,FALSE)</f>
        <v>0</v>
      </c>
      <c r="G207" s="44"/>
      <c r="H207" s="44"/>
      <c r="I207" s="44"/>
      <c r="J207" s="118"/>
      <c r="K207" s="118"/>
      <c r="L207" s="118"/>
      <c r="M207" s="118"/>
      <c r="N207" s="118"/>
      <c r="O207" s="118"/>
      <c r="P207" s="118"/>
    </row>
    <row r="208" spans="4:16" ht="15" hidden="1" x14ac:dyDescent="0.2">
      <c r="D208" s="105"/>
      <c r="E208" s="106"/>
      <c r="F208" s="107"/>
      <c r="G208" s="44"/>
      <c r="H208" s="44"/>
      <c r="I208" s="44"/>
      <c r="J208" s="118"/>
      <c r="K208" s="118"/>
      <c r="L208" s="118"/>
      <c r="M208" s="118"/>
      <c r="N208" s="118"/>
      <c r="O208" s="118"/>
      <c r="P208" s="118"/>
    </row>
    <row r="209" spans="4:16" hidden="1" x14ac:dyDescent="0.2">
      <c r="D209" s="100"/>
      <c r="E209" s="51" t="s">
        <v>133</v>
      </c>
      <c r="F209" s="101"/>
      <c r="G209" s="44"/>
      <c r="H209" s="44"/>
      <c r="I209" s="44"/>
      <c r="J209" s="118"/>
      <c r="K209" s="118"/>
      <c r="L209" s="118"/>
      <c r="M209" s="118"/>
      <c r="N209" s="118"/>
      <c r="O209" s="118"/>
      <c r="P209" s="118"/>
    </row>
    <row r="210" spans="4:16" hidden="1" x14ac:dyDescent="0.2">
      <c r="D210" s="91" t="s">
        <v>123</v>
      </c>
      <c r="E210" s="69" t="b">
        <v>0</v>
      </c>
      <c r="F210" s="92">
        <f>IF(C_251=TRUE,5,0)</f>
        <v>0</v>
      </c>
      <c r="G210" s="44"/>
      <c r="H210" s="44"/>
      <c r="I210" s="44"/>
      <c r="J210" s="118"/>
      <c r="K210" s="118"/>
      <c r="L210" s="118"/>
      <c r="M210" s="118"/>
      <c r="N210" s="118"/>
      <c r="O210" s="118"/>
      <c r="P210" s="118"/>
    </row>
    <row r="211" spans="4:16" hidden="1" x14ac:dyDescent="0.2">
      <c r="D211" s="93" t="s">
        <v>124</v>
      </c>
      <c r="E211" s="77" t="b">
        <v>0</v>
      </c>
      <c r="F211" s="94">
        <f>IF(C_252=TRUE,3,)</f>
        <v>0</v>
      </c>
      <c r="G211" s="44"/>
      <c r="H211" s="44"/>
      <c r="I211" s="44"/>
      <c r="J211" s="118"/>
      <c r="K211" s="118"/>
      <c r="L211" s="118"/>
      <c r="M211" s="118"/>
      <c r="N211" s="118"/>
      <c r="O211" s="118"/>
      <c r="P211" s="118"/>
    </row>
    <row r="212" spans="4:16" hidden="1" x14ac:dyDescent="0.2">
      <c r="D212" s="93" t="s">
        <v>125</v>
      </c>
      <c r="E212" s="77" t="b">
        <v>0</v>
      </c>
      <c r="F212" s="94">
        <f>IF(C_253=TRUE,1,0)</f>
        <v>0</v>
      </c>
      <c r="G212" s="44"/>
      <c r="H212" s="44"/>
      <c r="I212" s="44"/>
      <c r="J212" s="118"/>
      <c r="K212" s="118"/>
      <c r="L212" s="118"/>
      <c r="M212" s="118"/>
      <c r="N212" s="118"/>
      <c r="O212" s="118"/>
      <c r="P212" s="118"/>
    </row>
    <row r="213" spans="4:16" hidden="1" x14ac:dyDescent="0.2">
      <c r="D213" s="95" t="s">
        <v>126</v>
      </c>
      <c r="E213" s="77" t="b">
        <v>0</v>
      </c>
      <c r="F213" s="94">
        <f>IF(C_254=TRUE,"N/A",0)</f>
        <v>0</v>
      </c>
      <c r="G213" s="44"/>
      <c r="H213" s="44"/>
      <c r="I213" s="44"/>
      <c r="J213" s="118"/>
      <c r="K213" s="118"/>
      <c r="L213" s="118"/>
      <c r="M213" s="118"/>
      <c r="N213" s="118"/>
      <c r="O213" s="118"/>
      <c r="P213" s="118"/>
    </row>
    <row r="214" spans="4:16" ht="15" hidden="1" x14ac:dyDescent="0.2">
      <c r="D214" s="104"/>
      <c r="E214" s="33" t="s">
        <v>127</v>
      </c>
      <c r="F214" s="97" t="str">
        <f>IF(COUNTIF(E210:E213,FALSE)=4,"No Rating Selected",IF(F213="N/A","N/A",SUM(F210:F212)))</f>
        <v>No Rating Selected</v>
      </c>
      <c r="G214" s="44"/>
      <c r="H214" s="44"/>
      <c r="I214" s="44"/>
      <c r="J214" s="118"/>
      <c r="K214" s="118"/>
      <c r="L214" s="118"/>
      <c r="M214" s="118"/>
      <c r="N214" s="118"/>
      <c r="O214" s="118"/>
      <c r="P214" s="118"/>
    </row>
    <row r="215" spans="4:16" ht="15" hidden="1" x14ac:dyDescent="0.2">
      <c r="D215" s="104"/>
      <c r="E215" s="33" t="s">
        <v>128</v>
      </c>
      <c r="F215" s="97">
        <f>IF(C_254=TRUE,0,5)</f>
        <v>5</v>
      </c>
      <c r="G215" s="44"/>
      <c r="H215" s="44"/>
      <c r="I215" s="44"/>
      <c r="J215" s="118"/>
      <c r="K215" s="118"/>
      <c r="L215" s="118"/>
      <c r="M215" s="118"/>
      <c r="N215" s="118"/>
      <c r="O215" s="118"/>
      <c r="P215" s="118"/>
    </row>
    <row r="216" spans="4:16" ht="15" hidden="1" x14ac:dyDescent="0.2">
      <c r="D216" s="96"/>
      <c r="E216" s="33" t="s">
        <v>129</v>
      </c>
      <c r="F216" s="97" t="b">
        <f>IF(COUNTIF(E210:E213,TRUE)=1,TRUE,FALSE)</f>
        <v>0</v>
      </c>
      <c r="G216" s="44"/>
      <c r="H216" s="44"/>
      <c r="I216" s="44"/>
      <c r="J216" s="118"/>
      <c r="K216" s="118"/>
      <c r="L216" s="118"/>
      <c r="M216" s="118"/>
      <c r="N216" s="118"/>
      <c r="O216" s="118"/>
      <c r="P216" s="118"/>
    </row>
    <row r="217" spans="4:16" ht="15" hidden="1" x14ac:dyDescent="0.2">
      <c r="D217" s="105"/>
      <c r="E217" s="106"/>
      <c r="F217" s="107"/>
      <c r="G217" s="44"/>
      <c r="H217" s="44"/>
      <c r="I217" s="44"/>
      <c r="J217" s="118"/>
      <c r="K217" s="118"/>
      <c r="L217" s="118"/>
      <c r="M217" s="118"/>
      <c r="N217" s="118"/>
      <c r="O217" s="118"/>
      <c r="P217" s="118"/>
    </row>
    <row r="218" spans="4:16" ht="15" hidden="1" x14ac:dyDescent="0.2">
      <c r="D218" s="108"/>
      <c r="E218" s="50" t="s">
        <v>136</v>
      </c>
      <c r="F218" s="109"/>
      <c r="G218" s="44"/>
      <c r="H218" s="44"/>
      <c r="I218" s="44"/>
      <c r="J218" s="118"/>
      <c r="K218" s="118"/>
      <c r="L218" s="118"/>
      <c r="M218" s="118"/>
      <c r="N218" s="118"/>
      <c r="O218" s="118"/>
      <c r="P218" s="118"/>
    </row>
    <row r="219" spans="4:16" hidden="1" x14ac:dyDescent="0.2">
      <c r="D219" s="91" t="s">
        <v>123</v>
      </c>
      <c r="E219" s="69" t="b">
        <v>0</v>
      </c>
      <c r="F219" s="92" t="s">
        <v>147</v>
      </c>
      <c r="G219" s="44"/>
      <c r="H219" s="44"/>
      <c r="I219" s="44"/>
      <c r="J219" s="118"/>
      <c r="K219" s="118"/>
      <c r="L219" s="118"/>
      <c r="M219" s="118"/>
      <c r="N219" s="118"/>
      <c r="O219" s="118"/>
      <c r="P219" s="118"/>
    </row>
    <row r="220" spans="4:16" hidden="1" x14ac:dyDescent="0.2">
      <c r="D220" s="93" t="s">
        <v>134</v>
      </c>
      <c r="E220" s="77" t="b">
        <v>0</v>
      </c>
      <c r="F220" s="94" t="s">
        <v>148</v>
      </c>
      <c r="G220" s="44"/>
      <c r="H220" s="44"/>
      <c r="I220" s="44"/>
      <c r="J220" s="118"/>
      <c r="K220" s="118"/>
      <c r="L220" s="118"/>
      <c r="M220" s="118"/>
      <c r="N220" s="118"/>
      <c r="O220" s="118"/>
      <c r="P220" s="118"/>
    </row>
    <row r="221" spans="4:16" hidden="1" x14ac:dyDescent="0.2">
      <c r="D221" s="93" t="s">
        <v>135</v>
      </c>
      <c r="E221" s="77" t="b">
        <v>0</v>
      </c>
      <c r="F221" s="94" t="s">
        <v>149</v>
      </c>
      <c r="G221" s="44"/>
      <c r="H221" s="44"/>
      <c r="I221" s="44"/>
      <c r="J221" s="118"/>
      <c r="K221" s="118"/>
      <c r="L221" s="118"/>
      <c r="M221" s="118"/>
      <c r="N221" s="118"/>
      <c r="O221" s="118"/>
      <c r="P221" s="118"/>
    </row>
    <row r="222" spans="4:16" hidden="1" x14ac:dyDescent="0.2">
      <c r="D222" s="95" t="s">
        <v>126</v>
      </c>
      <c r="E222" s="77" t="b">
        <v>0</v>
      </c>
      <c r="F222" s="94" t="s">
        <v>150</v>
      </c>
      <c r="G222" s="44"/>
      <c r="H222" s="44"/>
      <c r="I222" s="44"/>
      <c r="J222" s="118"/>
      <c r="K222" s="118"/>
      <c r="L222" s="118"/>
      <c r="M222" s="118"/>
      <c r="N222" s="118"/>
      <c r="O222" s="118"/>
      <c r="P222" s="118"/>
    </row>
    <row r="223" spans="4:16" ht="15" hidden="1" x14ac:dyDescent="0.2">
      <c r="D223" s="104"/>
      <c r="E223" s="33" t="s">
        <v>127</v>
      </c>
      <c r="F223" s="112" t="s">
        <v>151</v>
      </c>
      <c r="G223" s="44"/>
      <c r="H223" s="44"/>
      <c r="I223" s="44"/>
      <c r="J223" s="118"/>
      <c r="K223" s="118"/>
      <c r="L223" s="118"/>
      <c r="M223" s="118"/>
      <c r="N223" s="118"/>
      <c r="O223" s="118"/>
      <c r="P223" s="118"/>
    </row>
    <row r="224" spans="4:16" ht="15" hidden="1" x14ac:dyDescent="0.2">
      <c r="D224" s="104"/>
      <c r="E224" s="33" t="s">
        <v>116</v>
      </c>
      <c r="F224" s="112" t="s">
        <v>152</v>
      </c>
      <c r="G224" s="44"/>
      <c r="H224" s="44"/>
      <c r="I224" s="44"/>
      <c r="J224" s="118"/>
      <c r="K224" s="118"/>
      <c r="L224" s="118"/>
      <c r="M224" s="118"/>
      <c r="N224" s="118"/>
      <c r="O224" s="118"/>
      <c r="P224" s="118"/>
    </row>
    <row r="225" spans="4:16" ht="15.75" hidden="1" thickBot="1" x14ac:dyDescent="0.25">
      <c r="D225" s="110"/>
      <c r="E225" s="42" t="s">
        <v>129</v>
      </c>
      <c r="F225" s="113" t="s">
        <v>153</v>
      </c>
      <c r="G225" s="44"/>
      <c r="H225" s="44"/>
      <c r="I225" s="44"/>
      <c r="J225" s="118"/>
      <c r="K225" s="118"/>
      <c r="L225" s="118"/>
      <c r="M225" s="118"/>
      <c r="N225" s="118"/>
      <c r="O225" s="118"/>
      <c r="P225" s="118"/>
    </row>
    <row r="226" spans="4:16" hidden="1" x14ac:dyDescent="0.2">
      <c r="D226" s="98"/>
      <c r="E226" s="44"/>
      <c r="F226" s="99"/>
      <c r="G226" s="44"/>
      <c r="H226" s="44"/>
      <c r="I226" s="44"/>
      <c r="J226" s="118"/>
      <c r="K226" s="118"/>
      <c r="L226" s="118"/>
      <c r="M226" s="118"/>
      <c r="N226" s="118"/>
      <c r="O226" s="118"/>
      <c r="P226" s="118"/>
    </row>
    <row r="227" spans="4:16" ht="15" hidden="1" x14ac:dyDescent="0.25">
      <c r="D227" s="197" t="s">
        <v>154</v>
      </c>
      <c r="E227" s="198"/>
      <c r="F227" s="97" t="str">
        <f>IF(COUNTIF(E174:E213,FALSE)=20,"Status: Not Yet Started",IF(COUNTIF(F174:F216,TRUE)=5,"Status: Completed","Status: Work in Progress"))</f>
        <v>Status: Not Yet Started</v>
      </c>
      <c r="G227" s="44"/>
      <c r="H227" s="44"/>
      <c r="I227" s="44"/>
      <c r="J227" s="118"/>
      <c r="K227" s="118"/>
      <c r="L227" s="118"/>
      <c r="M227" s="118"/>
      <c r="N227" s="118"/>
      <c r="O227" s="118"/>
      <c r="P227" s="118"/>
    </row>
    <row r="228" spans="4:16" ht="15.75" hidden="1" thickBot="1" x14ac:dyDescent="0.25">
      <c r="D228" s="261" t="s">
        <v>145</v>
      </c>
      <c r="E228" s="262"/>
      <c r="F228" s="114">
        <f>SUM(F179,F188,F197,F206,F215)</f>
        <v>25</v>
      </c>
      <c r="G228" s="44"/>
      <c r="H228" s="44"/>
      <c r="I228" s="44"/>
      <c r="J228" s="118"/>
      <c r="K228" s="118"/>
      <c r="L228" s="118"/>
      <c r="M228" s="118"/>
      <c r="N228" s="118"/>
      <c r="O228" s="118"/>
      <c r="P228" s="118"/>
    </row>
    <row r="229" spans="4:16" hidden="1" x14ac:dyDescent="0.2">
      <c r="D229" s="44"/>
      <c r="E229" s="44"/>
      <c r="F229" s="44"/>
      <c r="G229" s="44"/>
      <c r="H229" s="44"/>
      <c r="I229" s="44"/>
      <c r="J229" s="118"/>
      <c r="K229" s="118"/>
      <c r="L229" s="118"/>
      <c r="M229" s="118"/>
      <c r="N229" s="118"/>
      <c r="O229" s="118"/>
      <c r="P229" s="118"/>
    </row>
    <row r="230" spans="4:16" ht="15" hidden="1" thickBot="1" x14ac:dyDescent="0.25">
      <c r="D230" s="44"/>
      <c r="E230" s="44"/>
      <c r="F230" s="44"/>
      <c r="G230" s="44"/>
      <c r="H230" s="44"/>
      <c r="I230" s="78"/>
      <c r="J230" s="118"/>
      <c r="K230" s="118"/>
      <c r="L230" s="118"/>
      <c r="M230" s="118"/>
      <c r="N230" s="118"/>
      <c r="O230" s="118"/>
      <c r="P230" s="118"/>
    </row>
    <row r="231" spans="4:16" ht="15.75" hidden="1" thickBot="1" x14ac:dyDescent="0.3">
      <c r="D231" s="255" t="s">
        <v>155</v>
      </c>
      <c r="E231" s="256"/>
      <c r="F231" s="257"/>
      <c r="G231" s="44"/>
      <c r="H231" s="44"/>
      <c r="I231" s="78"/>
      <c r="J231" s="118"/>
      <c r="K231" s="118"/>
      <c r="L231" s="118"/>
      <c r="M231" s="118"/>
      <c r="N231" s="118"/>
      <c r="O231" s="118"/>
      <c r="P231" s="118"/>
    </row>
    <row r="232" spans="4:16" hidden="1" x14ac:dyDescent="0.2">
      <c r="D232" s="89"/>
      <c r="E232" s="88" t="s">
        <v>122</v>
      </c>
      <c r="F232" s="90"/>
      <c r="G232" s="44"/>
      <c r="H232" s="44"/>
      <c r="I232" s="78"/>
      <c r="J232" s="118"/>
      <c r="K232" s="118"/>
      <c r="L232" s="118"/>
      <c r="M232" s="118"/>
      <c r="N232" s="118"/>
      <c r="O232" s="118"/>
      <c r="P232" s="118"/>
    </row>
    <row r="233" spans="4:16" hidden="1" x14ac:dyDescent="0.2">
      <c r="D233" s="91" t="s">
        <v>123</v>
      </c>
      <c r="E233" s="69" t="b">
        <v>0</v>
      </c>
      <c r="F233" s="92">
        <f>IF(C_311=TRUE,5,0)</f>
        <v>0</v>
      </c>
      <c r="G233" s="44"/>
      <c r="H233" s="44"/>
      <c r="I233" s="78"/>
      <c r="J233" s="118"/>
      <c r="K233" s="118"/>
      <c r="L233" s="118"/>
      <c r="M233" s="118"/>
      <c r="N233" s="118"/>
      <c r="O233" s="118"/>
      <c r="P233" s="118"/>
    </row>
    <row r="234" spans="4:16" hidden="1" x14ac:dyDescent="0.2">
      <c r="D234" s="93" t="s">
        <v>124</v>
      </c>
      <c r="E234" s="70" t="b">
        <v>0</v>
      </c>
      <c r="F234" s="94">
        <f>IF(C_312=TRUE,3,0)</f>
        <v>0</v>
      </c>
      <c r="G234" s="44"/>
      <c r="H234" s="44"/>
      <c r="I234" s="78"/>
      <c r="J234" s="118"/>
      <c r="K234" s="118"/>
      <c r="L234" s="118"/>
      <c r="M234" s="118"/>
      <c r="N234" s="118"/>
      <c r="O234" s="118"/>
      <c r="P234" s="118"/>
    </row>
    <row r="235" spans="4:16" hidden="1" x14ac:dyDescent="0.2">
      <c r="D235" s="93" t="s">
        <v>125</v>
      </c>
      <c r="E235" s="70" t="b">
        <v>0</v>
      </c>
      <c r="F235" s="94">
        <f>IF(C_313=TRUE,1,0)</f>
        <v>0</v>
      </c>
      <c r="G235" s="44"/>
      <c r="H235" s="44"/>
      <c r="I235" s="78"/>
      <c r="J235" s="118"/>
      <c r="K235" s="118"/>
      <c r="L235" s="118"/>
      <c r="M235" s="118"/>
      <c r="N235" s="118"/>
      <c r="O235" s="118"/>
      <c r="P235" s="118"/>
    </row>
    <row r="236" spans="4:16" hidden="1" x14ac:dyDescent="0.2">
      <c r="D236" s="95" t="s">
        <v>126</v>
      </c>
      <c r="E236" s="77" t="b">
        <v>0</v>
      </c>
      <c r="F236" s="94">
        <f>IF(C_314=TRUE,"N/A",0)</f>
        <v>0</v>
      </c>
      <c r="G236" s="44"/>
      <c r="H236" s="44"/>
      <c r="I236" s="78"/>
      <c r="J236" s="118"/>
      <c r="K236" s="118"/>
      <c r="L236" s="118"/>
      <c r="M236" s="118"/>
      <c r="N236" s="118"/>
      <c r="O236" s="118"/>
      <c r="P236" s="118"/>
    </row>
    <row r="237" spans="4:16" ht="15" hidden="1" x14ac:dyDescent="0.2">
      <c r="D237" s="96"/>
      <c r="E237" s="33" t="s">
        <v>127</v>
      </c>
      <c r="F237" s="97" t="str">
        <f>IF(COUNTIF(E233:E236,FALSE)=4,"No Rating Selected",IF(F236="N/A","N/A",SUM(F233:F235)))</f>
        <v>No Rating Selected</v>
      </c>
      <c r="G237" s="44"/>
      <c r="H237" s="44"/>
      <c r="I237" s="78"/>
      <c r="J237" s="118"/>
      <c r="K237" s="118"/>
      <c r="L237" s="118"/>
      <c r="M237" s="118"/>
      <c r="N237" s="118"/>
      <c r="O237" s="118"/>
      <c r="P237" s="118"/>
    </row>
    <row r="238" spans="4:16" ht="15" hidden="1" x14ac:dyDescent="0.2">
      <c r="D238" s="104"/>
      <c r="E238" s="33" t="s">
        <v>128</v>
      </c>
      <c r="F238" s="97">
        <f>IF(C_314=TRUE,0,5)</f>
        <v>5</v>
      </c>
      <c r="G238" s="44"/>
      <c r="H238" s="44"/>
      <c r="I238" s="44"/>
      <c r="J238" s="118"/>
      <c r="K238" s="118"/>
      <c r="L238" s="118"/>
      <c r="M238" s="118"/>
      <c r="N238" s="118"/>
      <c r="O238" s="118"/>
      <c r="P238" s="118"/>
    </row>
    <row r="239" spans="4:16" ht="15" hidden="1" x14ac:dyDescent="0.2">
      <c r="D239" s="96"/>
      <c r="E239" s="33" t="s">
        <v>129</v>
      </c>
      <c r="F239" s="97" t="b">
        <f>IF(COUNTIF(E233:E236,TRUE)=1,TRUE,FALSE)</f>
        <v>0</v>
      </c>
      <c r="G239" s="44"/>
      <c r="H239" s="44"/>
      <c r="I239" s="44"/>
      <c r="J239" s="118"/>
      <c r="K239" s="118"/>
      <c r="L239" s="118"/>
      <c r="M239" s="118"/>
      <c r="N239" s="118"/>
      <c r="O239" s="118"/>
      <c r="P239" s="118"/>
    </row>
    <row r="240" spans="4:16" hidden="1" x14ac:dyDescent="0.2">
      <c r="D240" s="98"/>
      <c r="E240" s="44"/>
      <c r="F240" s="99"/>
      <c r="G240" s="44"/>
      <c r="H240" s="44"/>
      <c r="I240" s="44"/>
      <c r="J240" s="118"/>
      <c r="K240" s="118"/>
      <c r="L240" s="118"/>
      <c r="M240" s="118"/>
      <c r="N240" s="118"/>
      <c r="O240" s="118"/>
      <c r="P240" s="118"/>
    </row>
    <row r="241" spans="4:16" hidden="1" x14ac:dyDescent="0.2">
      <c r="D241" s="100"/>
      <c r="E241" s="51" t="s">
        <v>130</v>
      </c>
      <c r="F241" s="101"/>
      <c r="G241" s="44"/>
      <c r="H241" s="44"/>
      <c r="I241" s="44"/>
      <c r="J241" s="118"/>
      <c r="K241" s="118"/>
      <c r="L241" s="118"/>
      <c r="M241" s="118"/>
      <c r="N241" s="118"/>
      <c r="O241" s="118"/>
      <c r="P241" s="118"/>
    </row>
    <row r="242" spans="4:16" hidden="1" x14ac:dyDescent="0.2">
      <c r="D242" s="91" t="s">
        <v>123</v>
      </c>
      <c r="E242" s="69" t="b">
        <v>0</v>
      </c>
      <c r="F242" s="92">
        <f>IF(C_321=TRUE,5,0)</f>
        <v>0</v>
      </c>
      <c r="G242" s="44"/>
      <c r="H242" s="44"/>
      <c r="I242" s="44"/>
      <c r="J242" s="118"/>
      <c r="K242" s="118"/>
      <c r="L242" s="118"/>
      <c r="M242" s="118"/>
      <c r="N242" s="118"/>
      <c r="O242" s="118"/>
      <c r="P242" s="118"/>
    </row>
    <row r="243" spans="4:16" hidden="1" x14ac:dyDescent="0.2">
      <c r="D243" s="93" t="s">
        <v>124</v>
      </c>
      <c r="E243" s="70" t="b">
        <v>0</v>
      </c>
      <c r="F243" s="94">
        <f>IF(C_322=TRUE,3,0)</f>
        <v>0</v>
      </c>
      <c r="G243" s="44"/>
      <c r="H243" s="44"/>
      <c r="I243" s="44"/>
      <c r="J243" s="118"/>
      <c r="K243" s="118"/>
      <c r="L243" s="118"/>
      <c r="M243" s="118"/>
      <c r="N243" s="118"/>
      <c r="O243" s="118"/>
      <c r="P243" s="118"/>
    </row>
    <row r="244" spans="4:16" hidden="1" x14ac:dyDescent="0.2">
      <c r="D244" s="93" t="s">
        <v>125</v>
      </c>
      <c r="E244" s="70" t="b">
        <v>0</v>
      </c>
      <c r="F244" s="94">
        <f>IF(C_323=TRUE,1,0)</f>
        <v>0</v>
      </c>
      <c r="G244" s="44"/>
      <c r="H244" s="44"/>
      <c r="I244" s="44"/>
      <c r="J244" s="118"/>
      <c r="K244" s="118"/>
      <c r="L244" s="118"/>
      <c r="M244" s="118"/>
      <c r="N244" s="118"/>
      <c r="O244" s="118"/>
      <c r="P244" s="118"/>
    </row>
    <row r="245" spans="4:16" hidden="1" x14ac:dyDescent="0.2">
      <c r="D245" s="95" t="s">
        <v>126</v>
      </c>
      <c r="E245" s="77" t="b">
        <v>0</v>
      </c>
      <c r="F245" s="94">
        <f>IF(C_324=TRUE,"N/A",0)</f>
        <v>0</v>
      </c>
      <c r="G245" s="44"/>
      <c r="H245" s="44"/>
      <c r="I245" s="44"/>
      <c r="J245" s="118"/>
      <c r="K245" s="118"/>
      <c r="L245" s="118"/>
      <c r="M245" s="118"/>
      <c r="N245" s="118"/>
      <c r="O245" s="118"/>
      <c r="P245" s="118"/>
    </row>
    <row r="246" spans="4:16" ht="15" hidden="1" x14ac:dyDescent="0.2">
      <c r="D246" s="102"/>
      <c r="E246" s="33" t="s">
        <v>127</v>
      </c>
      <c r="F246" s="97" t="str">
        <f>IF(COUNTIF(E242:E245,FALSE)=4,"No Rating Selected",IF(F245="N/A","N/A",SUM(F242:F244)))</f>
        <v>No Rating Selected</v>
      </c>
      <c r="G246" s="44"/>
      <c r="H246" s="44"/>
      <c r="I246" s="44"/>
      <c r="J246" s="118"/>
      <c r="K246" s="118"/>
      <c r="L246" s="118"/>
      <c r="M246" s="118"/>
      <c r="N246" s="118"/>
      <c r="O246" s="118"/>
      <c r="P246" s="118"/>
    </row>
    <row r="247" spans="4:16" ht="15" hidden="1" x14ac:dyDescent="0.2">
      <c r="D247" s="104"/>
      <c r="E247" s="33" t="s">
        <v>128</v>
      </c>
      <c r="F247" s="97">
        <f>IF(C_324=TRUE,0,5)</f>
        <v>5</v>
      </c>
      <c r="G247" s="44"/>
      <c r="H247" s="44"/>
      <c r="I247" s="44"/>
      <c r="J247" s="118"/>
      <c r="K247" s="118"/>
      <c r="L247" s="118"/>
      <c r="M247" s="118"/>
      <c r="N247" s="118"/>
      <c r="O247" s="118"/>
      <c r="P247" s="118"/>
    </row>
    <row r="248" spans="4:16" ht="15" hidden="1" x14ac:dyDescent="0.2">
      <c r="D248" s="102"/>
      <c r="E248" s="33" t="s">
        <v>129</v>
      </c>
      <c r="F248" s="97" t="b">
        <f>IF(COUNTIF(E242:E245,TRUE)=1,TRUE,FALSE)</f>
        <v>0</v>
      </c>
      <c r="G248" s="44"/>
      <c r="H248" s="44"/>
      <c r="I248" s="44"/>
      <c r="J248" s="118"/>
      <c r="K248" s="118"/>
      <c r="L248" s="118"/>
      <c r="M248" s="118"/>
      <c r="N248" s="118"/>
      <c r="O248" s="118"/>
      <c r="P248" s="118"/>
    </row>
    <row r="249" spans="4:16" hidden="1" x14ac:dyDescent="0.2">
      <c r="D249" s="98"/>
      <c r="E249" s="44"/>
      <c r="F249" s="99"/>
      <c r="G249" s="44"/>
      <c r="H249" s="44"/>
      <c r="I249" s="44"/>
      <c r="J249" s="118"/>
      <c r="K249" s="118"/>
      <c r="L249" s="118"/>
      <c r="M249" s="118"/>
      <c r="N249" s="118"/>
      <c r="O249" s="118"/>
      <c r="P249" s="118"/>
    </row>
    <row r="250" spans="4:16" hidden="1" x14ac:dyDescent="0.2">
      <c r="D250" s="100"/>
      <c r="E250" s="51" t="s">
        <v>131</v>
      </c>
      <c r="F250" s="101"/>
      <c r="G250" s="44"/>
      <c r="H250" s="44"/>
      <c r="I250" s="44"/>
      <c r="J250" s="118"/>
      <c r="K250" s="118"/>
      <c r="L250" s="118"/>
      <c r="M250" s="118"/>
      <c r="N250" s="118"/>
      <c r="O250" s="118"/>
      <c r="P250" s="118"/>
    </row>
    <row r="251" spans="4:16" hidden="1" x14ac:dyDescent="0.2">
      <c r="D251" s="91" t="s">
        <v>123</v>
      </c>
      <c r="E251" s="69" t="b">
        <v>0</v>
      </c>
      <c r="F251" s="92">
        <f>IF(C_331=TRUE,5,0)</f>
        <v>0</v>
      </c>
      <c r="G251" s="44"/>
      <c r="H251" s="44"/>
      <c r="I251" s="44"/>
      <c r="J251" s="118"/>
      <c r="K251" s="118"/>
      <c r="L251" s="118"/>
      <c r="M251" s="118"/>
      <c r="N251" s="118"/>
      <c r="O251" s="118"/>
      <c r="P251" s="118"/>
    </row>
    <row r="252" spans="4:16" hidden="1" x14ac:dyDescent="0.2">
      <c r="D252" s="93" t="s">
        <v>124</v>
      </c>
      <c r="E252" s="77" t="b">
        <v>0</v>
      </c>
      <c r="F252" s="94">
        <f>IF(C_332=TRUE,3,0)</f>
        <v>0</v>
      </c>
      <c r="G252" s="44"/>
      <c r="H252" s="44"/>
      <c r="I252" s="44"/>
      <c r="J252" s="118"/>
      <c r="K252" s="118"/>
      <c r="L252" s="118"/>
      <c r="M252" s="118"/>
      <c r="N252" s="118"/>
      <c r="O252" s="118"/>
      <c r="P252" s="118"/>
    </row>
    <row r="253" spans="4:16" hidden="1" x14ac:dyDescent="0.2">
      <c r="D253" s="93" t="s">
        <v>125</v>
      </c>
      <c r="E253" s="70" t="b">
        <v>0</v>
      </c>
      <c r="F253" s="94">
        <f>IF(C_333=TRUE,1,0)</f>
        <v>0</v>
      </c>
      <c r="G253" s="44"/>
      <c r="H253" s="44"/>
      <c r="I253" s="44"/>
      <c r="J253" s="118"/>
      <c r="K253" s="118"/>
      <c r="L253" s="118"/>
      <c r="M253" s="118"/>
      <c r="N253" s="118"/>
      <c r="O253" s="118"/>
      <c r="P253" s="118"/>
    </row>
    <row r="254" spans="4:16" hidden="1" x14ac:dyDescent="0.2">
      <c r="D254" s="95" t="s">
        <v>126</v>
      </c>
      <c r="E254" s="77" t="b">
        <v>0</v>
      </c>
      <c r="F254" s="94">
        <f>IF(C_334=TRUE,"N/A",0)</f>
        <v>0</v>
      </c>
      <c r="G254" s="44"/>
      <c r="H254" s="44"/>
      <c r="I254" s="44"/>
      <c r="J254" s="118"/>
      <c r="K254" s="118"/>
      <c r="L254" s="118"/>
      <c r="M254" s="118"/>
      <c r="N254" s="118"/>
      <c r="O254" s="118"/>
      <c r="P254" s="118"/>
    </row>
    <row r="255" spans="4:16" ht="15" hidden="1" x14ac:dyDescent="0.2">
      <c r="D255" s="104"/>
      <c r="E255" s="33" t="s">
        <v>127</v>
      </c>
      <c r="F255" s="97" t="str">
        <f>IF(COUNTIF(E251:E254,FALSE)=4,"No Rating Selected",IF(F254="N/A","N/A",SUM(F251:F253)))</f>
        <v>No Rating Selected</v>
      </c>
      <c r="G255" s="44"/>
      <c r="H255" s="44"/>
      <c r="I255" s="44"/>
      <c r="J255" s="118"/>
      <c r="K255" s="118"/>
      <c r="L255" s="118"/>
      <c r="M255" s="118"/>
      <c r="N255" s="118"/>
      <c r="O255" s="118"/>
      <c r="P255" s="118"/>
    </row>
    <row r="256" spans="4:16" ht="15" hidden="1" x14ac:dyDescent="0.2">
      <c r="D256" s="104"/>
      <c r="E256" s="33" t="s">
        <v>128</v>
      </c>
      <c r="F256" s="97">
        <f>IF(C_334=TRUE,0,5)</f>
        <v>5</v>
      </c>
      <c r="G256" s="44"/>
      <c r="H256" s="44"/>
      <c r="I256" s="44"/>
      <c r="J256" s="118"/>
      <c r="K256" s="118"/>
      <c r="L256" s="118"/>
      <c r="M256" s="118"/>
      <c r="N256" s="118"/>
      <c r="O256" s="118"/>
      <c r="P256" s="118"/>
    </row>
    <row r="257" spans="4:16" ht="15" hidden="1" x14ac:dyDescent="0.2">
      <c r="D257" s="96"/>
      <c r="E257" s="33" t="s">
        <v>129</v>
      </c>
      <c r="F257" s="97" t="b">
        <f>IF(COUNTIF(E251:E254,TRUE)=1,TRUE,FALSE)</f>
        <v>0</v>
      </c>
      <c r="G257" s="44"/>
      <c r="H257" s="44"/>
      <c r="I257" s="44"/>
      <c r="J257" s="118"/>
      <c r="K257" s="118"/>
      <c r="L257" s="118"/>
      <c r="M257" s="118"/>
      <c r="N257" s="118"/>
      <c r="O257" s="118"/>
      <c r="P257" s="118"/>
    </row>
    <row r="258" spans="4:16" hidden="1" x14ac:dyDescent="0.2">
      <c r="D258" s="98"/>
      <c r="E258" s="44"/>
      <c r="F258" s="99"/>
      <c r="G258" s="44"/>
      <c r="H258" s="44"/>
      <c r="I258" s="44"/>
      <c r="J258" s="118"/>
      <c r="K258" s="118"/>
      <c r="L258" s="118"/>
      <c r="M258" s="118"/>
      <c r="N258" s="118"/>
      <c r="O258" s="118"/>
      <c r="P258" s="118"/>
    </row>
    <row r="259" spans="4:16" hidden="1" x14ac:dyDescent="0.2">
      <c r="D259" s="100"/>
      <c r="E259" s="51" t="s">
        <v>132</v>
      </c>
      <c r="F259" s="101"/>
      <c r="G259" s="44"/>
      <c r="H259" s="44"/>
      <c r="I259" s="44"/>
      <c r="J259" s="118"/>
      <c r="K259" s="118"/>
      <c r="L259" s="118"/>
      <c r="M259" s="118"/>
      <c r="N259" s="118"/>
      <c r="O259" s="118"/>
      <c r="P259" s="118"/>
    </row>
    <row r="260" spans="4:16" hidden="1" x14ac:dyDescent="0.2">
      <c r="D260" s="91" t="s">
        <v>123</v>
      </c>
      <c r="E260" s="69" t="b">
        <v>0</v>
      </c>
      <c r="F260" s="92">
        <f>IF(C_341=TRUE,5,0)</f>
        <v>0</v>
      </c>
      <c r="G260" s="44"/>
      <c r="H260" s="44"/>
      <c r="I260" s="44"/>
      <c r="J260" s="118"/>
      <c r="K260" s="118"/>
      <c r="L260" s="118"/>
      <c r="M260" s="118"/>
      <c r="N260" s="118"/>
      <c r="O260" s="118"/>
      <c r="P260" s="118"/>
    </row>
    <row r="261" spans="4:16" hidden="1" x14ac:dyDescent="0.2">
      <c r="D261" s="93" t="s">
        <v>124</v>
      </c>
      <c r="E261" s="77" t="b">
        <v>0</v>
      </c>
      <c r="F261" s="94">
        <f>IF(C_342=TRUE,3,0)</f>
        <v>0</v>
      </c>
      <c r="G261" s="44"/>
      <c r="H261" s="44"/>
      <c r="I261" s="44"/>
      <c r="J261" s="118"/>
      <c r="K261" s="118"/>
      <c r="L261" s="118"/>
      <c r="M261" s="118"/>
      <c r="N261" s="118"/>
      <c r="O261" s="118"/>
      <c r="P261" s="118"/>
    </row>
    <row r="262" spans="4:16" hidden="1" x14ac:dyDescent="0.2">
      <c r="D262" s="93" t="s">
        <v>125</v>
      </c>
      <c r="E262" s="70" t="b">
        <v>0</v>
      </c>
      <c r="F262" s="94">
        <f>IF(C_343=TRUE,1,0)</f>
        <v>0</v>
      </c>
      <c r="G262" s="44"/>
      <c r="H262" s="44"/>
      <c r="I262" s="44"/>
      <c r="J262" s="118"/>
      <c r="K262" s="118"/>
      <c r="L262" s="118"/>
      <c r="M262" s="118"/>
      <c r="N262" s="118"/>
      <c r="O262" s="118"/>
      <c r="P262" s="118"/>
    </row>
    <row r="263" spans="4:16" hidden="1" x14ac:dyDescent="0.2">
      <c r="D263" s="95" t="s">
        <v>126</v>
      </c>
      <c r="E263" s="77" t="b">
        <v>0</v>
      </c>
      <c r="F263" s="94">
        <f>IF(C_344=TRUE,"N/A",0)</f>
        <v>0</v>
      </c>
      <c r="G263" s="44"/>
      <c r="H263" s="44"/>
      <c r="I263" s="44"/>
      <c r="J263" s="118"/>
      <c r="K263" s="118"/>
      <c r="L263" s="118"/>
      <c r="M263" s="118"/>
      <c r="N263" s="118"/>
      <c r="O263" s="118"/>
      <c r="P263" s="118"/>
    </row>
    <row r="264" spans="4:16" ht="15" hidden="1" x14ac:dyDescent="0.2">
      <c r="D264" s="104"/>
      <c r="E264" s="33" t="s">
        <v>127</v>
      </c>
      <c r="F264" s="97" t="str">
        <f>IF(COUNTIF(E260:E263,FALSE)=4,"No Rating Selected",IF(F263="N/A","N/A",SUM(F260:F262)))</f>
        <v>No Rating Selected</v>
      </c>
      <c r="G264" s="44"/>
      <c r="H264" s="44"/>
      <c r="I264" s="44"/>
      <c r="J264" s="118"/>
      <c r="K264" s="118"/>
      <c r="L264" s="118"/>
      <c r="M264" s="118"/>
      <c r="N264" s="118"/>
      <c r="O264" s="118"/>
      <c r="P264" s="118"/>
    </row>
    <row r="265" spans="4:16" ht="15" hidden="1" x14ac:dyDescent="0.2">
      <c r="D265" s="104"/>
      <c r="E265" s="33" t="s">
        <v>128</v>
      </c>
      <c r="F265" s="97">
        <f>IF(C_344=TRUE,0,5)</f>
        <v>5</v>
      </c>
      <c r="G265" s="44"/>
      <c r="H265" s="44"/>
      <c r="I265" s="44"/>
      <c r="J265" s="118"/>
      <c r="K265" s="118"/>
      <c r="L265" s="118"/>
      <c r="M265" s="118"/>
      <c r="N265" s="118"/>
      <c r="O265" s="118"/>
      <c r="P265" s="118"/>
    </row>
    <row r="266" spans="4:16" ht="15" hidden="1" x14ac:dyDescent="0.2">
      <c r="D266" s="96"/>
      <c r="E266" s="33" t="s">
        <v>129</v>
      </c>
      <c r="F266" s="97" t="b">
        <f>IF(COUNTIF(E260:E263,TRUE)=1,TRUE,FALSE)</f>
        <v>0</v>
      </c>
      <c r="G266" s="44"/>
      <c r="H266" s="44"/>
      <c r="I266" s="44"/>
      <c r="J266" s="118"/>
      <c r="K266" s="118"/>
      <c r="L266" s="118"/>
      <c r="M266" s="118"/>
      <c r="N266" s="118"/>
      <c r="O266" s="118"/>
      <c r="P266" s="118"/>
    </row>
    <row r="267" spans="4:16" ht="15" hidden="1" x14ac:dyDescent="0.2">
      <c r="D267" s="105"/>
      <c r="E267" s="106"/>
      <c r="F267" s="107"/>
      <c r="G267" s="44"/>
      <c r="H267" s="44"/>
      <c r="I267" s="44"/>
      <c r="J267" s="118"/>
      <c r="K267" s="118"/>
      <c r="L267" s="118"/>
      <c r="M267" s="118"/>
      <c r="N267" s="118"/>
      <c r="O267" s="118"/>
      <c r="P267" s="118"/>
    </row>
    <row r="268" spans="4:16" hidden="1" x14ac:dyDescent="0.2">
      <c r="D268" s="100"/>
      <c r="E268" s="51" t="s">
        <v>133</v>
      </c>
      <c r="F268" s="101"/>
      <c r="G268" s="44"/>
      <c r="H268" s="44"/>
      <c r="I268" s="44"/>
      <c r="J268" s="118"/>
      <c r="K268" s="118"/>
      <c r="L268" s="118"/>
      <c r="M268" s="118"/>
      <c r="N268" s="118"/>
      <c r="O268" s="118"/>
      <c r="P268" s="118"/>
    </row>
    <row r="269" spans="4:16" hidden="1" x14ac:dyDescent="0.2">
      <c r="D269" s="91" t="s">
        <v>123</v>
      </c>
      <c r="E269" s="69" t="b">
        <v>0</v>
      </c>
      <c r="F269" s="92">
        <f>IF(C_351=TRUE,5,0)</f>
        <v>0</v>
      </c>
      <c r="G269" s="44"/>
      <c r="H269" s="44"/>
      <c r="I269" s="44"/>
      <c r="J269" s="118"/>
      <c r="K269" s="118"/>
      <c r="L269" s="118"/>
      <c r="M269" s="118"/>
      <c r="N269" s="118"/>
      <c r="O269" s="118"/>
      <c r="P269" s="118"/>
    </row>
    <row r="270" spans="4:16" hidden="1" x14ac:dyDescent="0.2">
      <c r="D270" s="93" t="s">
        <v>124</v>
      </c>
      <c r="E270" s="70" t="b">
        <v>0</v>
      </c>
      <c r="F270" s="94">
        <f>IF(C_352=TRUE,3,0)</f>
        <v>0</v>
      </c>
      <c r="G270" s="44"/>
      <c r="H270" s="44"/>
      <c r="I270" s="44"/>
      <c r="J270" s="118"/>
      <c r="K270" s="118"/>
      <c r="L270" s="118"/>
      <c r="M270" s="118"/>
      <c r="N270" s="118"/>
      <c r="O270" s="118"/>
      <c r="P270" s="118"/>
    </row>
    <row r="271" spans="4:16" hidden="1" x14ac:dyDescent="0.2">
      <c r="D271" s="93" t="s">
        <v>125</v>
      </c>
      <c r="E271" s="77" t="b">
        <v>0</v>
      </c>
      <c r="F271" s="94">
        <f>IF(C_353=TRUE,1,0)</f>
        <v>0</v>
      </c>
      <c r="G271" s="44"/>
      <c r="H271" s="44"/>
      <c r="I271" s="44"/>
      <c r="J271" s="118"/>
      <c r="K271" s="118"/>
      <c r="L271" s="118"/>
      <c r="M271" s="118"/>
      <c r="N271" s="118"/>
      <c r="O271" s="118"/>
      <c r="P271" s="118"/>
    </row>
    <row r="272" spans="4:16" hidden="1" x14ac:dyDescent="0.2">
      <c r="D272" s="95" t="s">
        <v>126</v>
      </c>
      <c r="E272" s="77" t="b">
        <v>0</v>
      </c>
      <c r="F272" s="94">
        <f>IF(C_354=TRUE,"N/A",0)</f>
        <v>0</v>
      </c>
      <c r="G272" s="44"/>
      <c r="H272" s="44"/>
      <c r="I272" s="44"/>
      <c r="J272" s="118"/>
      <c r="K272" s="118"/>
      <c r="L272" s="118"/>
      <c r="M272" s="118"/>
      <c r="N272" s="118"/>
      <c r="O272" s="118"/>
      <c r="P272" s="118"/>
    </row>
    <row r="273" spans="4:16" ht="15" hidden="1" x14ac:dyDescent="0.2">
      <c r="D273" s="104"/>
      <c r="E273" s="33" t="s">
        <v>127</v>
      </c>
      <c r="F273" s="97" t="str">
        <f>IF(COUNTIF(E269:E272,FALSE)=4,"No Rating Selected",IF(F272="N/A","N/A",SUM(F269:F271)))</f>
        <v>No Rating Selected</v>
      </c>
      <c r="G273" s="44"/>
      <c r="H273" s="44"/>
      <c r="I273" s="44"/>
      <c r="J273" s="118"/>
      <c r="K273" s="118"/>
      <c r="L273" s="118"/>
      <c r="M273" s="118"/>
      <c r="N273" s="118"/>
      <c r="O273" s="118"/>
      <c r="P273" s="118"/>
    </row>
    <row r="274" spans="4:16" ht="13.5" hidden="1" customHeight="1" x14ac:dyDescent="0.2">
      <c r="D274" s="104"/>
      <c r="E274" s="33" t="s">
        <v>128</v>
      </c>
      <c r="F274" s="97">
        <f>IF(C_354=TRUE,0,5)</f>
        <v>5</v>
      </c>
      <c r="G274" s="44"/>
      <c r="H274" s="44"/>
      <c r="I274" s="44"/>
      <c r="J274" s="118"/>
      <c r="K274" s="118"/>
      <c r="L274" s="118"/>
      <c r="M274" s="118"/>
      <c r="N274" s="118"/>
      <c r="O274" s="118"/>
      <c r="P274" s="118"/>
    </row>
    <row r="275" spans="4:16" ht="13.5" hidden="1" customHeight="1" x14ac:dyDescent="0.2">
      <c r="D275" s="96"/>
      <c r="E275" s="33" t="s">
        <v>129</v>
      </c>
      <c r="F275" s="97" t="b">
        <f>IF(COUNTIF(E269:E272,TRUE)=1,TRUE,FALSE)</f>
        <v>0</v>
      </c>
      <c r="G275" s="44"/>
      <c r="H275" s="44"/>
      <c r="I275" s="44"/>
      <c r="J275" s="118"/>
      <c r="K275" s="118"/>
      <c r="L275" s="118"/>
      <c r="M275" s="118"/>
      <c r="N275" s="118"/>
      <c r="O275" s="118"/>
      <c r="P275" s="118"/>
    </row>
    <row r="276" spans="4:16" ht="15" hidden="1" x14ac:dyDescent="0.2">
      <c r="D276" s="105"/>
      <c r="E276" s="106"/>
      <c r="F276" s="107"/>
      <c r="G276" s="44"/>
      <c r="H276" s="44"/>
      <c r="I276" s="44"/>
      <c r="J276" s="118"/>
      <c r="K276" s="118"/>
      <c r="L276" s="118"/>
      <c r="M276" s="118"/>
      <c r="N276" s="118"/>
      <c r="O276" s="118"/>
      <c r="P276" s="118"/>
    </row>
    <row r="277" spans="4:16" ht="15" hidden="1" x14ac:dyDescent="0.2">
      <c r="D277" s="108"/>
      <c r="E277" s="50" t="s">
        <v>136</v>
      </c>
      <c r="F277" s="109"/>
      <c r="G277" s="44"/>
      <c r="H277" s="44"/>
      <c r="I277" s="44"/>
      <c r="J277" s="118"/>
      <c r="K277" s="118"/>
      <c r="L277" s="118"/>
      <c r="M277" s="118"/>
      <c r="N277" s="118"/>
      <c r="O277" s="118"/>
      <c r="P277" s="118"/>
    </row>
    <row r="278" spans="4:16" hidden="1" x14ac:dyDescent="0.2">
      <c r="D278" s="91" t="s">
        <v>123</v>
      </c>
      <c r="E278" s="69" t="b">
        <v>0</v>
      </c>
      <c r="F278" s="92" t="s">
        <v>156</v>
      </c>
      <c r="G278" s="44"/>
      <c r="H278" s="44"/>
      <c r="I278" s="44"/>
      <c r="J278" s="118"/>
      <c r="K278" s="118"/>
      <c r="L278" s="118"/>
      <c r="M278" s="118"/>
      <c r="N278" s="118"/>
      <c r="O278" s="118"/>
      <c r="P278" s="118"/>
    </row>
    <row r="279" spans="4:16" hidden="1" x14ac:dyDescent="0.2">
      <c r="D279" s="93" t="s">
        <v>134</v>
      </c>
      <c r="E279" s="70" t="b">
        <v>0</v>
      </c>
      <c r="F279" s="94" t="s">
        <v>157</v>
      </c>
      <c r="G279" s="44"/>
      <c r="H279" s="44"/>
      <c r="I279" s="44"/>
      <c r="J279" s="118"/>
      <c r="K279" s="118"/>
      <c r="L279" s="118"/>
      <c r="M279" s="118"/>
      <c r="N279" s="118"/>
      <c r="O279" s="118"/>
      <c r="P279" s="118"/>
    </row>
    <row r="280" spans="4:16" hidden="1" x14ac:dyDescent="0.2">
      <c r="D280" s="93" t="s">
        <v>135</v>
      </c>
      <c r="E280" s="77" t="b">
        <v>0</v>
      </c>
      <c r="F280" s="94" t="s">
        <v>158</v>
      </c>
      <c r="G280" s="44"/>
      <c r="H280" s="44"/>
      <c r="I280" s="44"/>
      <c r="J280" s="118"/>
      <c r="K280" s="118"/>
      <c r="L280" s="118"/>
      <c r="M280" s="118"/>
      <c r="N280" s="118"/>
      <c r="O280" s="118"/>
      <c r="P280" s="118"/>
    </row>
    <row r="281" spans="4:16" hidden="1" x14ac:dyDescent="0.2">
      <c r="D281" s="95" t="s">
        <v>126</v>
      </c>
      <c r="E281" s="77" t="b">
        <v>0</v>
      </c>
      <c r="F281" s="94" t="s">
        <v>159</v>
      </c>
      <c r="G281" s="44"/>
      <c r="H281" s="44"/>
      <c r="I281" s="44"/>
      <c r="J281" s="118"/>
      <c r="K281" s="118"/>
      <c r="L281" s="118"/>
      <c r="M281" s="118"/>
      <c r="N281" s="118"/>
      <c r="O281" s="118"/>
      <c r="P281" s="118"/>
    </row>
    <row r="282" spans="4:16" ht="15" hidden="1" x14ac:dyDescent="0.2">
      <c r="D282" s="104"/>
      <c r="E282" s="33" t="s">
        <v>127</v>
      </c>
      <c r="F282" s="112" t="s">
        <v>160</v>
      </c>
      <c r="G282" s="44"/>
      <c r="H282" s="44"/>
      <c r="I282" s="44"/>
      <c r="J282" s="118"/>
      <c r="K282" s="118"/>
      <c r="L282" s="118"/>
      <c r="M282" s="118"/>
      <c r="N282" s="118"/>
      <c r="O282" s="118"/>
      <c r="P282" s="118"/>
    </row>
    <row r="283" spans="4:16" ht="15" hidden="1" x14ac:dyDescent="0.2">
      <c r="D283" s="104"/>
      <c r="E283" s="33" t="s">
        <v>116</v>
      </c>
      <c r="F283" s="112" t="s">
        <v>161</v>
      </c>
      <c r="G283" s="44"/>
      <c r="H283" s="44"/>
      <c r="I283" s="44"/>
      <c r="J283" s="118"/>
      <c r="K283" s="118"/>
      <c r="L283" s="118"/>
      <c r="M283" s="118"/>
      <c r="N283" s="118"/>
      <c r="O283" s="118"/>
      <c r="P283" s="118"/>
    </row>
    <row r="284" spans="4:16" ht="15.75" hidden="1" thickBot="1" x14ac:dyDescent="0.25">
      <c r="D284" s="110"/>
      <c r="E284" s="42" t="s">
        <v>129</v>
      </c>
      <c r="F284" s="113" t="s">
        <v>162</v>
      </c>
      <c r="G284" s="44"/>
      <c r="H284" s="44"/>
      <c r="I284" s="44"/>
      <c r="J284" s="118"/>
      <c r="K284" s="118"/>
      <c r="L284" s="118"/>
      <c r="M284" s="118"/>
      <c r="N284" s="118"/>
      <c r="O284" s="118"/>
      <c r="P284" s="118"/>
    </row>
    <row r="285" spans="4:16" ht="15" hidden="1" x14ac:dyDescent="0.2">
      <c r="D285" s="105"/>
      <c r="E285" s="106"/>
      <c r="F285" s="107"/>
      <c r="G285" s="44"/>
      <c r="H285" s="44"/>
      <c r="I285" s="44"/>
      <c r="J285" s="118"/>
      <c r="K285" s="118"/>
      <c r="L285" s="118"/>
      <c r="M285" s="118"/>
      <c r="N285" s="118"/>
      <c r="O285" s="118"/>
      <c r="P285" s="118"/>
    </row>
    <row r="286" spans="4:16" ht="15" hidden="1" x14ac:dyDescent="0.2">
      <c r="D286" s="108"/>
      <c r="E286" s="50" t="s">
        <v>163</v>
      </c>
      <c r="F286" s="109"/>
      <c r="G286" s="44"/>
      <c r="H286" s="44"/>
      <c r="I286" s="44"/>
      <c r="J286" s="118"/>
      <c r="K286" s="118"/>
      <c r="L286" s="118"/>
      <c r="M286" s="118"/>
      <c r="N286" s="118"/>
      <c r="O286" s="118"/>
      <c r="P286" s="118"/>
    </row>
    <row r="287" spans="4:16" hidden="1" x14ac:dyDescent="0.2">
      <c r="D287" s="91" t="s">
        <v>123</v>
      </c>
      <c r="E287" s="69" t="b">
        <v>0</v>
      </c>
      <c r="F287" s="92" t="s">
        <v>164</v>
      </c>
      <c r="G287" s="44"/>
      <c r="H287" s="44"/>
      <c r="I287" s="44"/>
      <c r="J287" s="118"/>
      <c r="K287" s="118"/>
      <c r="L287" s="118"/>
      <c r="M287" s="118"/>
      <c r="N287" s="118"/>
      <c r="O287" s="118"/>
      <c r="P287" s="118"/>
    </row>
    <row r="288" spans="4:16" hidden="1" x14ac:dyDescent="0.2">
      <c r="D288" s="93" t="s">
        <v>134</v>
      </c>
      <c r="E288" s="70" t="b">
        <v>0</v>
      </c>
      <c r="F288" s="94" t="s">
        <v>165</v>
      </c>
      <c r="G288" s="44"/>
      <c r="H288" s="44"/>
      <c r="I288" s="44"/>
      <c r="J288" s="118"/>
      <c r="K288" s="118"/>
      <c r="L288" s="118"/>
      <c r="M288" s="118"/>
      <c r="N288" s="118"/>
      <c r="O288" s="118"/>
      <c r="P288" s="118"/>
    </row>
    <row r="289" spans="4:16" hidden="1" x14ac:dyDescent="0.2">
      <c r="D289" s="93" t="s">
        <v>135</v>
      </c>
      <c r="E289" s="77" t="b">
        <v>0</v>
      </c>
      <c r="F289" s="94" t="s">
        <v>166</v>
      </c>
      <c r="G289" s="44"/>
      <c r="H289" s="44"/>
      <c r="I289" s="78"/>
      <c r="J289" s="118"/>
      <c r="K289" s="118"/>
      <c r="L289" s="118"/>
      <c r="M289" s="118"/>
      <c r="N289" s="118"/>
      <c r="O289" s="118"/>
      <c r="P289" s="118"/>
    </row>
    <row r="290" spans="4:16" hidden="1" x14ac:dyDescent="0.2">
      <c r="D290" s="95" t="s">
        <v>126</v>
      </c>
      <c r="E290" s="77" t="b">
        <v>0</v>
      </c>
      <c r="F290" s="94" t="s">
        <v>167</v>
      </c>
      <c r="G290" s="44"/>
      <c r="H290" s="44"/>
      <c r="I290" s="78"/>
      <c r="J290" s="118"/>
      <c r="K290" s="118"/>
      <c r="L290" s="118"/>
      <c r="M290" s="118"/>
      <c r="N290" s="118"/>
      <c r="O290" s="118"/>
      <c r="P290" s="118"/>
    </row>
    <row r="291" spans="4:16" ht="15" hidden="1" x14ac:dyDescent="0.2">
      <c r="D291" s="104"/>
      <c r="E291" s="33" t="s">
        <v>127</v>
      </c>
      <c r="F291" s="112" t="s">
        <v>168</v>
      </c>
      <c r="G291" s="44"/>
      <c r="H291" s="44"/>
      <c r="I291" s="78"/>
      <c r="J291" s="118"/>
      <c r="K291" s="118"/>
      <c r="L291" s="118"/>
      <c r="M291" s="118"/>
      <c r="N291" s="118"/>
      <c r="O291" s="118"/>
      <c r="P291" s="118"/>
    </row>
    <row r="292" spans="4:16" ht="15" hidden="1" x14ac:dyDescent="0.2">
      <c r="D292" s="104"/>
      <c r="E292" s="33" t="s">
        <v>116</v>
      </c>
      <c r="F292" s="112" t="s">
        <v>169</v>
      </c>
      <c r="G292" s="44"/>
      <c r="H292" s="44"/>
      <c r="I292" s="78"/>
      <c r="J292" s="118"/>
      <c r="K292" s="118"/>
      <c r="L292" s="118"/>
      <c r="M292" s="118"/>
      <c r="N292" s="118"/>
      <c r="O292" s="118"/>
      <c r="P292" s="118"/>
    </row>
    <row r="293" spans="4:16" ht="15.75" hidden="1" thickBot="1" x14ac:dyDescent="0.25">
      <c r="D293" s="110"/>
      <c r="E293" s="42" t="s">
        <v>129</v>
      </c>
      <c r="F293" s="113" t="s">
        <v>170</v>
      </c>
      <c r="G293" s="44"/>
      <c r="H293" s="44"/>
      <c r="I293" s="78"/>
      <c r="J293" s="118"/>
      <c r="K293" s="118"/>
      <c r="L293" s="118"/>
      <c r="M293" s="118"/>
      <c r="N293" s="118"/>
      <c r="O293" s="118"/>
      <c r="P293" s="118"/>
    </row>
    <row r="294" spans="4:16" ht="15" hidden="1" x14ac:dyDescent="0.2">
      <c r="D294" s="105"/>
      <c r="E294" s="106"/>
      <c r="F294" s="115"/>
      <c r="G294" s="44"/>
      <c r="H294" s="44"/>
      <c r="I294" s="78"/>
      <c r="J294" s="118"/>
      <c r="K294" s="118"/>
      <c r="L294" s="118"/>
      <c r="M294" s="118"/>
      <c r="N294" s="118"/>
      <c r="O294" s="118"/>
      <c r="P294" s="118"/>
    </row>
    <row r="295" spans="4:16" ht="15" hidden="1" x14ac:dyDescent="0.2">
      <c r="D295" s="108"/>
      <c r="E295" s="50" t="s">
        <v>171</v>
      </c>
      <c r="F295" s="109"/>
      <c r="G295" s="44"/>
      <c r="H295" s="44"/>
      <c r="I295" s="78"/>
      <c r="J295" s="118"/>
      <c r="K295" s="118"/>
      <c r="L295" s="118"/>
      <c r="M295" s="118"/>
      <c r="N295" s="118"/>
      <c r="O295" s="118"/>
      <c r="P295" s="118"/>
    </row>
    <row r="296" spans="4:16" hidden="1" x14ac:dyDescent="0.2">
      <c r="D296" s="91" t="s">
        <v>123</v>
      </c>
      <c r="E296" s="69" t="b">
        <v>0</v>
      </c>
      <c r="F296" s="92" t="s">
        <v>172</v>
      </c>
      <c r="G296" s="44"/>
      <c r="H296" s="44"/>
      <c r="I296" s="78"/>
      <c r="J296" s="118"/>
      <c r="K296" s="118"/>
      <c r="L296" s="118"/>
      <c r="M296" s="118"/>
      <c r="N296" s="118"/>
      <c r="O296" s="118"/>
      <c r="P296" s="118"/>
    </row>
    <row r="297" spans="4:16" hidden="1" x14ac:dyDescent="0.2">
      <c r="D297" s="93" t="s">
        <v>134</v>
      </c>
      <c r="E297" s="70" t="b">
        <v>0</v>
      </c>
      <c r="F297" s="94" t="s">
        <v>173</v>
      </c>
      <c r="G297" s="44"/>
      <c r="H297" s="44"/>
      <c r="I297" s="44"/>
      <c r="J297" s="118"/>
      <c r="K297" s="118"/>
      <c r="L297" s="118"/>
      <c r="M297" s="118"/>
      <c r="N297" s="118"/>
      <c r="O297" s="118"/>
      <c r="P297" s="118"/>
    </row>
    <row r="298" spans="4:16" hidden="1" x14ac:dyDescent="0.2">
      <c r="D298" s="93" t="s">
        <v>135</v>
      </c>
      <c r="E298" s="77" t="b">
        <v>0</v>
      </c>
      <c r="F298" s="94" t="s">
        <v>174</v>
      </c>
      <c r="G298" s="44"/>
      <c r="H298" s="44"/>
      <c r="I298" s="44"/>
      <c r="J298" s="118"/>
      <c r="K298" s="118"/>
      <c r="L298" s="118"/>
      <c r="M298" s="118"/>
      <c r="N298" s="118"/>
      <c r="O298" s="118"/>
      <c r="P298" s="118"/>
    </row>
    <row r="299" spans="4:16" hidden="1" x14ac:dyDescent="0.2">
      <c r="D299" s="95" t="s">
        <v>126</v>
      </c>
      <c r="E299" s="77" t="b">
        <v>0</v>
      </c>
      <c r="F299" s="94" t="s">
        <v>175</v>
      </c>
      <c r="G299" s="44"/>
      <c r="H299" s="44"/>
      <c r="I299" s="44"/>
      <c r="J299" s="118"/>
      <c r="K299" s="118"/>
      <c r="L299" s="118"/>
      <c r="M299" s="118"/>
      <c r="N299" s="118"/>
      <c r="O299" s="118"/>
      <c r="P299" s="118"/>
    </row>
    <row r="300" spans="4:16" ht="15" hidden="1" x14ac:dyDescent="0.2">
      <c r="D300" s="104"/>
      <c r="E300" s="33" t="s">
        <v>127</v>
      </c>
      <c r="F300" s="112" t="s">
        <v>176</v>
      </c>
      <c r="G300" s="44"/>
      <c r="H300" s="44"/>
      <c r="I300" s="44"/>
      <c r="J300" s="118"/>
      <c r="K300" s="118"/>
      <c r="L300" s="118"/>
      <c r="M300" s="118"/>
      <c r="N300" s="118"/>
      <c r="O300" s="118"/>
      <c r="P300" s="118"/>
    </row>
    <row r="301" spans="4:16" ht="15" hidden="1" x14ac:dyDescent="0.2">
      <c r="D301" s="104"/>
      <c r="E301" s="33" t="s">
        <v>116</v>
      </c>
      <c r="F301" s="112" t="s">
        <v>177</v>
      </c>
      <c r="G301" s="44"/>
      <c r="H301" s="44"/>
      <c r="I301" s="44"/>
      <c r="J301" s="118"/>
      <c r="K301" s="118"/>
      <c r="L301" s="118"/>
      <c r="M301" s="118"/>
      <c r="N301" s="118"/>
      <c r="O301" s="118"/>
      <c r="P301" s="118"/>
    </row>
    <row r="302" spans="4:16" ht="15.75" hidden="1" thickBot="1" x14ac:dyDescent="0.25">
      <c r="D302" s="110"/>
      <c r="E302" s="42" t="s">
        <v>129</v>
      </c>
      <c r="F302" s="113" t="s">
        <v>178</v>
      </c>
      <c r="G302" s="44"/>
      <c r="H302" s="44"/>
      <c r="I302" s="44"/>
      <c r="J302" s="118"/>
      <c r="K302" s="118"/>
      <c r="L302" s="118"/>
      <c r="M302" s="118"/>
      <c r="N302" s="118"/>
      <c r="O302" s="118"/>
      <c r="P302" s="118"/>
    </row>
    <row r="303" spans="4:16" hidden="1" x14ac:dyDescent="0.2">
      <c r="D303" s="98"/>
      <c r="E303" s="44"/>
      <c r="F303" s="99"/>
      <c r="G303" s="44"/>
      <c r="H303" s="44"/>
      <c r="I303" s="44"/>
      <c r="J303" s="118"/>
      <c r="K303" s="118"/>
      <c r="L303" s="118"/>
      <c r="M303" s="118"/>
      <c r="N303" s="118"/>
      <c r="O303" s="118"/>
      <c r="P303" s="118"/>
    </row>
    <row r="304" spans="4:16" ht="15" hidden="1" x14ac:dyDescent="0.25">
      <c r="D304" s="197" t="s">
        <v>179</v>
      </c>
      <c r="E304" s="198"/>
      <c r="F304" s="97" t="str">
        <f>IF(COUNTIF(E233:E272,FALSE)=20,"Status: Not Yet Started",IF(COUNTIF(F233:F275,TRUE)=5,"Status: Completed","Status: Work in Progress"))</f>
        <v>Status: Not Yet Started</v>
      </c>
      <c r="G304" s="44"/>
      <c r="H304" s="44"/>
      <c r="I304" s="44"/>
      <c r="J304" s="118"/>
      <c r="K304" s="118"/>
      <c r="L304" s="118"/>
      <c r="M304" s="118"/>
      <c r="N304" s="118"/>
      <c r="O304" s="118"/>
      <c r="P304" s="118"/>
    </row>
    <row r="305" spans="4:16" ht="15.75" hidden="1" thickBot="1" x14ac:dyDescent="0.25">
      <c r="D305" s="261" t="s">
        <v>145</v>
      </c>
      <c r="E305" s="262"/>
      <c r="F305" s="114">
        <f>SUM(F238,F247,F256,F265,F274)</f>
        <v>25</v>
      </c>
      <c r="G305" s="44"/>
      <c r="H305" s="44"/>
      <c r="I305" s="44"/>
      <c r="J305" s="118"/>
      <c r="K305" s="118"/>
      <c r="L305" s="118"/>
      <c r="M305" s="118"/>
      <c r="N305" s="118"/>
      <c r="O305" s="118"/>
      <c r="P305" s="118"/>
    </row>
    <row r="306" spans="4:16" hidden="1" x14ac:dyDescent="0.2">
      <c r="D306" s="44"/>
      <c r="E306" s="44"/>
      <c r="F306" s="44"/>
      <c r="G306" s="44"/>
      <c r="H306" s="44"/>
      <c r="I306" s="44"/>
      <c r="J306" s="118"/>
      <c r="K306" s="118"/>
      <c r="L306" s="118"/>
      <c r="M306" s="118"/>
      <c r="N306" s="118"/>
      <c r="O306" s="118"/>
      <c r="P306" s="118"/>
    </row>
    <row r="307" spans="4:16" ht="15" hidden="1" thickBot="1" x14ac:dyDescent="0.25">
      <c r="D307" s="44"/>
      <c r="E307" s="44"/>
      <c r="F307" s="44"/>
      <c r="G307" s="44"/>
      <c r="H307" s="44"/>
      <c r="I307" s="44"/>
      <c r="J307" s="118"/>
      <c r="K307" s="118"/>
      <c r="L307" s="118"/>
      <c r="M307" s="118"/>
      <c r="N307" s="118"/>
      <c r="O307" s="118"/>
      <c r="P307" s="118"/>
    </row>
    <row r="308" spans="4:16" ht="15.75" hidden="1" thickBot="1" x14ac:dyDescent="0.3">
      <c r="D308" s="255" t="s">
        <v>180</v>
      </c>
      <c r="E308" s="256"/>
      <c r="F308" s="257"/>
      <c r="G308" s="44"/>
      <c r="H308" s="44"/>
      <c r="I308" s="44"/>
      <c r="J308" s="118"/>
      <c r="K308" s="118"/>
      <c r="L308" s="118"/>
      <c r="M308" s="118"/>
      <c r="N308" s="118"/>
      <c r="O308" s="118"/>
      <c r="P308" s="118"/>
    </row>
    <row r="309" spans="4:16" hidden="1" x14ac:dyDescent="0.2">
      <c r="D309" s="89"/>
      <c r="E309" s="88" t="s">
        <v>122</v>
      </c>
      <c r="F309" s="90"/>
      <c r="G309" s="44"/>
      <c r="H309" s="44"/>
      <c r="I309" s="44"/>
      <c r="J309" s="118"/>
      <c r="K309" s="118"/>
      <c r="L309" s="118"/>
      <c r="M309" s="118"/>
      <c r="N309" s="118"/>
      <c r="O309" s="118"/>
      <c r="P309" s="118"/>
    </row>
    <row r="310" spans="4:16" hidden="1" x14ac:dyDescent="0.2">
      <c r="D310" s="91" t="s">
        <v>123</v>
      </c>
      <c r="E310" s="69" t="b">
        <v>0</v>
      </c>
      <c r="F310" s="92">
        <f>IF(C_411=TRUE,5,0)</f>
        <v>0</v>
      </c>
      <c r="G310" s="44"/>
      <c r="H310" s="44"/>
      <c r="I310" s="44"/>
      <c r="J310" s="118"/>
      <c r="K310" s="118"/>
      <c r="L310" s="118"/>
      <c r="M310" s="118"/>
      <c r="N310" s="118"/>
      <c r="O310" s="118"/>
      <c r="P310" s="118"/>
    </row>
    <row r="311" spans="4:16" hidden="1" x14ac:dyDescent="0.2">
      <c r="D311" s="93" t="s">
        <v>124</v>
      </c>
      <c r="E311" s="70" t="b">
        <v>0</v>
      </c>
      <c r="F311" s="94">
        <f>IF(C_412=TRUE,3,0)</f>
        <v>0</v>
      </c>
      <c r="G311" s="44"/>
      <c r="H311" s="44"/>
      <c r="I311" s="44"/>
      <c r="J311" s="118"/>
      <c r="K311" s="118"/>
      <c r="L311" s="118"/>
      <c r="M311" s="118"/>
      <c r="N311" s="118"/>
      <c r="O311" s="118"/>
      <c r="P311" s="118"/>
    </row>
    <row r="312" spans="4:16" hidden="1" x14ac:dyDescent="0.2">
      <c r="D312" s="93" t="s">
        <v>125</v>
      </c>
      <c r="E312" s="70" t="b">
        <v>0</v>
      </c>
      <c r="F312" s="94">
        <f>IF(C_413=TRUE,1,0)</f>
        <v>0</v>
      </c>
      <c r="G312" s="44"/>
      <c r="H312" s="44"/>
      <c r="I312" s="44"/>
      <c r="J312" s="118"/>
      <c r="K312" s="118"/>
      <c r="L312" s="118"/>
      <c r="M312" s="118"/>
      <c r="N312" s="118"/>
      <c r="O312" s="118"/>
      <c r="P312" s="118"/>
    </row>
    <row r="313" spans="4:16" hidden="1" x14ac:dyDescent="0.2">
      <c r="D313" s="95" t="s">
        <v>126</v>
      </c>
      <c r="E313" s="77" t="b">
        <v>0</v>
      </c>
      <c r="F313" s="94">
        <f>IF(C_414=TRUE,"N/A",0)</f>
        <v>0</v>
      </c>
      <c r="G313" s="44"/>
      <c r="H313" s="44"/>
      <c r="I313" s="44"/>
      <c r="J313" s="118"/>
      <c r="K313" s="118"/>
      <c r="L313" s="118"/>
      <c r="M313" s="118"/>
      <c r="N313" s="118"/>
      <c r="O313" s="118"/>
      <c r="P313" s="118"/>
    </row>
    <row r="314" spans="4:16" ht="15" hidden="1" x14ac:dyDescent="0.2">
      <c r="D314" s="96"/>
      <c r="E314" s="33" t="s">
        <v>127</v>
      </c>
      <c r="F314" s="97" t="str">
        <f>IF(COUNTIF(E310:E313,FALSE)=4,"No Rating Selected",IF(F313="N/A","N/A",SUM(F310:F312)))</f>
        <v>No Rating Selected</v>
      </c>
      <c r="G314" s="44"/>
      <c r="H314" s="44"/>
      <c r="I314" s="44"/>
      <c r="J314" s="118"/>
      <c r="K314" s="118"/>
      <c r="L314" s="118"/>
      <c r="M314" s="118"/>
      <c r="N314" s="118"/>
      <c r="O314" s="118"/>
      <c r="P314" s="118"/>
    </row>
    <row r="315" spans="4:16" ht="15" hidden="1" x14ac:dyDescent="0.2">
      <c r="D315" s="96"/>
      <c r="E315" s="33" t="s">
        <v>128</v>
      </c>
      <c r="F315" s="97">
        <f>IF(C_414=TRUE,0,5)</f>
        <v>5</v>
      </c>
      <c r="G315" s="44"/>
      <c r="H315" s="44"/>
      <c r="I315" s="44"/>
      <c r="J315" s="118"/>
      <c r="K315" s="118"/>
      <c r="L315" s="118"/>
      <c r="M315" s="118"/>
      <c r="N315" s="118"/>
      <c r="O315" s="118"/>
      <c r="P315" s="118"/>
    </row>
    <row r="316" spans="4:16" ht="15" hidden="1" x14ac:dyDescent="0.2">
      <c r="D316" s="96"/>
      <c r="E316" s="33" t="s">
        <v>129</v>
      </c>
      <c r="F316" s="97" t="b">
        <f>IF(COUNTIF(E310:E313,TRUE)=1,TRUE,FALSE)</f>
        <v>0</v>
      </c>
      <c r="G316" s="44"/>
      <c r="H316" s="44"/>
      <c r="I316" s="44"/>
      <c r="J316" s="118"/>
      <c r="K316" s="118"/>
      <c r="L316" s="118"/>
      <c r="M316" s="118"/>
      <c r="N316" s="118"/>
      <c r="O316" s="118"/>
      <c r="P316" s="118"/>
    </row>
    <row r="317" spans="4:16" hidden="1" x14ac:dyDescent="0.2">
      <c r="D317" s="98"/>
      <c r="E317" s="44"/>
      <c r="F317" s="99"/>
      <c r="G317" s="44"/>
      <c r="H317" s="44"/>
      <c r="I317" s="44"/>
      <c r="J317" s="118"/>
      <c r="K317" s="118"/>
      <c r="L317" s="118"/>
      <c r="M317" s="118"/>
      <c r="N317" s="118"/>
      <c r="O317" s="118"/>
      <c r="P317" s="118"/>
    </row>
    <row r="318" spans="4:16" hidden="1" x14ac:dyDescent="0.2">
      <c r="D318" s="100"/>
      <c r="E318" s="51" t="s">
        <v>130</v>
      </c>
      <c r="F318" s="101"/>
      <c r="G318" s="44"/>
      <c r="H318" s="44"/>
      <c r="I318" s="44"/>
      <c r="J318" s="118"/>
      <c r="K318" s="118"/>
      <c r="L318" s="118"/>
      <c r="M318" s="118"/>
      <c r="N318" s="118"/>
      <c r="O318" s="118"/>
      <c r="P318" s="118"/>
    </row>
    <row r="319" spans="4:16" hidden="1" x14ac:dyDescent="0.2">
      <c r="D319" s="91" t="s">
        <v>123</v>
      </c>
      <c r="E319" s="69" t="b">
        <v>0</v>
      </c>
      <c r="F319" s="92">
        <f>IF(C_421=TRUE,5,0)</f>
        <v>0</v>
      </c>
      <c r="G319" s="44"/>
      <c r="H319" s="44"/>
      <c r="I319" s="44"/>
      <c r="J319" s="118"/>
      <c r="K319" s="118"/>
      <c r="L319" s="118"/>
      <c r="M319" s="118"/>
      <c r="N319" s="118"/>
      <c r="O319" s="118"/>
      <c r="P319" s="118"/>
    </row>
    <row r="320" spans="4:16" hidden="1" x14ac:dyDescent="0.2">
      <c r="D320" s="93" t="s">
        <v>124</v>
      </c>
      <c r="E320" s="77" t="b">
        <v>0</v>
      </c>
      <c r="F320" s="94">
        <f>IF(C_422=TRUE,3,0)</f>
        <v>0</v>
      </c>
      <c r="G320" s="44"/>
      <c r="H320" s="44"/>
      <c r="I320" s="44"/>
      <c r="J320" s="118"/>
      <c r="K320" s="118"/>
      <c r="L320" s="118"/>
      <c r="M320" s="118"/>
      <c r="N320" s="118"/>
      <c r="O320" s="118"/>
      <c r="P320" s="118"/>
    </row>
    <row r="321" spans="4:16" hidden="1" x14ac:dyDescent="0.2">
      <c r="D321" s="93" t="s">
        <v>125</v>
      </c>
      <c r="E321" s="77" t="b">
        <v>0</v>
      </c>
      <c r="F321" s="94">
        <f>IF(C_423=TRUE,1,0)</f>
        <v>0</v>
      </c>
      <c r="G321" s="44"/>
      <c r="H321" s="44"/>
      <c r="I321" s="44"/>
      <c r="J321" s="118"/>
      <c r="K321" s="118"/>
      <c r="L321" s="118"/>
      <c r="M321" s="118"/>
      <c r="N321" s="118"/>
      <c r="O321" s="118"/>
      <c r="P321" s="118"/>
    </row>
    <row r="322" spans="4:16" hidden="1" x14ac:dyDescent="0.2">
      <c r="D322" s="95" t="s">
        <v>126</v>
      </c>
      <c r="E322" s="77" t="b">
        <v>0</v>
      </c>
      <c r="F322" s="94">
        <f>IF(C_424=TRUE,"N/A",0)</f>
        <v>0</v>
      </c>
      <c r="G322" s="44"/>
      <c r="H322" s="44"/>
      <c r="I322" s="44"/>
      <c r="J322" s="118"/>
      <c r="K322" s="118"/>
      <c r="L322" s="118"/>
      <c r="M322" s="118"/>
      <c r="N322" s="118"/>
      <c r="O322" s="118"/>
      <c r="P322" s="118"/>
    </row>
    <row r="323" spans="4:16" ht="15" hidden="1" x14ac:dyDescent="0.2">
      <c r="D323" s="102"/>
      <c r="E323" s="33" t="s">
        <v>127</v>
      </c>
      <c r="F323" s="97" t="str">
        <f>IF(COUNTIF(E319:E322,FALSE)=4,"No Rating Selected",IF(F322="N/A","N/A",SUM(F319:F321)))</f>
        <v>No Rating Selected</v>
      </c>
      <c r="G323" s="44"/>
      <c r="H323" s="44"/>
      <c r="I323" s="44"/>
      <c r="J323" s="118"/>
      <c r="K323" s="118"/>
      <c r="L323" s="118"/>
      <c r="M323" s="118"/>
      <c r="N323" s="118"/>
      <c r="O323" s="118"/>
      <c r="P323" s="118"/>
    </row>
    <row r="324" spans="4:16" ht="15" hidden="1" x14ac:dyDescent="0.2">
      <c r="D324" s="102"/>
      <c r="E324" s="33" t="s">
        <v>128</v>
      </c>
      <c r="F324" s="94">
        <f>IF(C_424=TRUE,0,5)</f>
        <v>5</v>
      </c>
      <c r="G324" s="44"/>
      <c r="H324" s="44"/>
      <c r="I324" s="44"/>
      <c r="J324" s="118"/>
      <c r="K324" s="118"/>
      <c r="L324" s="118"/>
      <c r="M324" s="118"/>
      <c r="N324" s="118"/>
      <c r="O324" s="118"/>
      <c r="P324" s="118"/>
    </row>
    <row r="325" spans="4:16" ht="15" hidden="1" x14ac:dyDescent="0.2">
      <c r="D325" s="102"/>
      <c r="E325" s="33" t="s">
        <v>129</v>
      </c>
      <c r="F325" s="97" t="b">
        <f>IF(COUNTIF(E319:E322,TRUE)=1,TRUE,FALSE)</f>
        <v>0</v>
      </c>
      <c r="G325" s="44"/>
      <c r="H325" s="44"/>
      <c r="I325" s="44"/>
      <c r="J325" s="118"/>
      <c r="K325" s="118"/>
      <c r="L325" s="118"/>
      <c r="M325" s="118"/>
      <c r="N325" s="118"/>
      <c r="O325" s="118"/>
      <c r="P325" s="118"/>
    </row>
    <row r="326" spans="4:16" hidden="1" x14ac:dyDescent="0.2">
      <c r="D326" s="98"/>
      <c r="E326" s="44"/>
      <c r="F326" s="99"/>
      <c r="G326" s="44"/>
      <c r="H326" s="44"/>
      <c r="I326" s="44"/>
      <c r="J326" s="118"/>
      <c r="K326" s="118"/>
      <c r="L326" s="118"/>
      <c r="M326" s="118"/>
      <c r="N326" s="118"/>
      <c r="O326" s="118"/>
      <c r="P326" s="118"/>
    </row>
    <row r="327" spans="4:16" hidden="1" x14ac:dyDescent="0.2">
      <c r="D327" s="100"/>
      <c r="E327" s="51" t="s">
        <v>131</v>
      </c>
      <c r="F327" s="101"/>
      <c r="G327" s="44"/>
      <c r="H327" s="44"/>
      <c r="I327" s="44"/>
      <c r="J327" s="118"/>
      <c r="K327" s="118"/>
      <c r="L327" s="118"/>
      <c r="M327" s="118"/>
      <c r="N327" s="118"/>
      <c r="O327" s="118"/>
      <c r="P327" s="118"/>
    </row>
    <row r="328" spans="4:16" hidden="1" x14ac:dyDescent="0.2">
      <c r="D328" s="91" t="s">
        <v>123</v>
      </c>
      <c r="E328" s="69" t="b">
        <v>0</v>
      </c>
      <c r="F328" s="92">
        <f>IF(C_431=TRUE,5,0)</f>
        <v>0</v>
      </c>
      <c r="G328" s="44"/>
      <c r="H328" s="44"/>
      <c r="I328" s="44"/>
      <c r="J328" s="118"/>
      <c r="K328" s="118"/>
      <c r="L328" s="118"/>
      <c r="M328" s="118"/>
      <c r="N328" s="118"/>
      <c r="O328" s="118"/>
      <c r="P328" s="118"/>
    </row>
    <row r="329" spans="4:16" hidden="1" x14ac:dyDescent="0.2">
      <c r="D329" s="93" t="s">
        <v>124</v>
      </c>
      <c r="E329" s="77" t="b">
        <v>0</v>
      </c>
      <c r="F329" s="94">
        <f>IF(C_432=TRUE,3,0)</f>
        <v>0</v>
      </c>
      <c r="G329" s="44"/>
      <c r="H329" s="44"/>
      <c r="I329" s="44"/>
      <c r="J329" s="118"/>
      <c r="K329" s="118"/>
      <c r="L329" s="118"/>
      <c r="M329" s="118"/>
      <c r="N329" s="118"/>
      <c r="O329" s="118"/>
      <c r="P329" s="118"/>
    </row>
    <row r="330" spans="4:16" hidden="1" x14ac:dyDescent="0.2">
      <c r="D330" s="93" t="s">
        <v>125</v>
      </c>
      <c r="E330" s="77" t="b">
        <v>0</v>
      </c>
      <c r="F330" s="94">
        <f>IF(C_433=TRUE,1,0)</f>
        <v>0</v>
      </c>
      <c r="G330" s="44"/>
      <c r="H330" s="44"/>
      <c r="I330" s="44"/>
      <c r="J330" s="118"/>
      <c r="K330" s="118"/>
      <c r="L330" s="118"/>
      <c r="M330" s="118"/>
      <c r="N330" s="118"/>
      <c r="O330" s="118"/>
      <c r="P330" s="118"/>
    </row>
    <row r="331" spans="4:16" hidden="1" x14ac:dyDescent="0.2">
      <c r="D331" s="95" t="s">
        <v>126</v>
      </c>
      <c r="E331" s="77" t="b">
        <v>0</v>
      </c>
      <c r="F331" s="94">
        <f>IF(C_434=TRUE,"N/A",0)</f>
        <v>0</v>
      </c>
      <c r="G331" s="44"/>
      <c r="H331" s="44"/>
      <c r="I331" s="44"/>
      <c r="J331" s="118"/>
      <c r="K331" s="118"/>
      <c r="L331" s="118"/>
      <c r="M331" s="118"/>
      <c r="N331" s="118"/>
      <c r="O331" s="118"/>
      <c r="P331" s="118"/>
    </row>
    <row r="332" spans="4:16" ht="15" hidden="1" x14ac:dyDescent="0.2">
      <c r="D332" s="104"/>
      <c r="E332" s="33" t="s">
        <v>127</v>
      </c>
      <c r="F332" s="97" t="str">
        <f>IF(COUNTIF(E328:E331,FALSE)=4,"No Rating Selected",IF(F331="N/A","N/A",SUM(F328:F330)))</f>
        <v>No Rating Selected</v>
      </c>
      <c r="G332" s="44"/>
      <c r="H332" s="44"/>
      <c r="I332" s="44"/>
      <c r="J332" s="118"/>
      <c r="K332" s="118"/>
      <c r="L332" s="118"/>
      <c r="M332" s="118"/>
      <c r="N332" s="118"/>
      <c r="O332" s="118"/>
      <c r="P332" s="118"/>
    </row>
    <row r="333" spans="4:16" ht="15" hidden="1" x14ac:dyDescent="0.2">
      <c r="D333" s="104"/>
      <c r="E333" s="33" t="s">
        <v>128</v>
      </c>
      <c r="F333" s="97">
        <f>IF(C_434=TRUE,0,5)</f>
        <v>5</v>
      </c>
      <c r="G333" s="44"/>
      <c r="H333" s="44"/>
      <c r="I333" s="44"/>
      <c r="J333" s="118"/>
      <c r="K333" s="118"/>
      <c r="L333" s="118"/>
      <c r="M333" s="118"/>
      <c r="N333" s="118"/>
      <c r="O333" s="118"/>
      <c r="P333" s="118"/>
    </row>
    <row r="334" spans="4:16" ht="15" hidden="1" x14ac:dyDescent="0.2">
      <c r="D334" s="96"/>
      <c r="E334" s="33" t="s">
        <v>129</v>
      </c>
      <c r="F334" s="97" t="b">
        <f>IF(COUNTIF(E328:E331,TRUE)=1,TRUE,FALSE)</f>
        <v>0</v>
      </c>
      <c r="G334" s="44"/>
      <c r="H334" s="44"/>
      <c r="I334" s="44"/>
      <c r="J334" s="118"/>
      <c r="K334" s="118"/>
      <c r="L334" s="118"/>
      <c r="M334" s="118"/>
      <c r="N334" s="118"/>
      <c r="O334" s="118"/>
      <c r="P334" s="118"/>
    </row>
    <row r="335" spans="4:16" hidden="1" x14ac:dyDescent="0.2">
      <c r="D335" s="98"/>
      <c r="E335" s="44"/>
      <c r="F335" s="99"/>
      <c r="G335" s="44"/>
      <c r="H335" s="44"/>
      <c r="I335" s="44"/>
      <c r="J335" s="118"/>
      <c r="K335" s="118"/>
      <c r="L335" s="118"/>
      <c r="M335" s="118"/>
      <c r="N335" s="118"/>
      <c r="O335" s="118"/>
      <c r="P335" s="118"/>
    </row>
    <row r="336" spans="4:16" hidden="1" x14ac:dyDescent="0.2">
      <c r="D336" s="100"/>
      <c r="E336" s="51" t="s">
        <v>132</v>
      </c>
      <c r="F336" s="101"/>
      <c r="G336" s="44"/>
      <c r="H336" s="44"/>
      <c r="I336" s="44"/>
      <c r="J336" s="118"/>
      <c r="K336" s="118"/>
      <c r="L336" s="118"/>
      <c r="M336" s="118"/>
      <c r="N336" s="118"/>
      <c r="O336" s="118"/>
      <c r="P336" s="118"/>
    </row>
    <row r="337" spans="4:16" hidden="1" x14ac:dyDescent="0.2">
      <c r="D337" s="91" t="s">
        <v>123</v>
      </c>
      <c r="E337" s="69" t="b">
        <v>0</v>
      </c>
      <c r="F337" s="92">
        <f>IF(C_441=TRUE,5,0)</f>
        <v>0</v>
      </c>
      <c r="G337" s="44"/>
      <c r="H337" s="44"/>
      <c r="I337" s="44"/>
      <c r="J337" s="118"/>
      <c r="K337" s="118"/>
      <c r="L337" s="118"/>
      <c r="M337" s="118"/>
      <c r="N337" s="118"/>
      <c r="O337" s="118"/>
      <c r="P337" s="118"/>
    </row>
    <row r="338" spans="4:16" hidden="1" x14ac:dyDescent="0.2">
      <c r="D338" s="93" t="s">
        <v>124</v>
      </c>
      <c r="E338" s="77" t="b">
        <v>0</v>
      </c>
      <c r="F338" s="94">
        <f>IF(C_442=TRUE,3,0)</f>
        <v>0</v>
      </c>
      <c r="G338" s="44"/>
      <c r="H338" s="44"/>
      <c r="I338" s="44"/>
      <c r="J338" s="118"/>
      <c r="K338" s="118"/>
      <c r="L338" s="118"/>
      <c r="M338" s="118"/>
      <c r="N338" s="118"/>
      <c r="O338" s="118"/>
      <c r="P338" s="118"/>
    </row>
    <row r="339" spans="4:16" hidden="1" x14ac:dyDescent="0.2">
      <c r="D339" s="93" t="s">
        <v>125</v>
      </c>
      <c r="E339" s="70" t="b">
        <v>0</v>
      </c>
      <c r="F339" s="94">
        <f>IF(C_443=TRUE,1,0)</f>
        <v>0</v>
      </c>
      <c r="G339" s="44"/>
      <c r="H339" s="44"/>
      <c r="I339" s="44"/>
      <c r="J339" s="118"/>
      <c r="K339" s="118"/>
      <c r="L339" s="118"/>
      <c r="M339" s="118"/>
      <c r="N339" s="118"/>
      <c r="O339" s="118"/>
      <c r="P339" s="118"/>
    </row>
    <row r="340" spans="4:16" hidden="1" x14ac:dyDescent="0.2">
      <c r="D340" s="95" t="s">
        <v>126</v>
      </c>
      <c r="E340" s="77" t="b">
        <v>0</v>
      </c>
      <c r="F340" s="94">
        <f>IF(C_444=TRUE,"N/A",0)</f>
        <v>0</v>
      </c>
      <c r="G340" s="44"/>
      <c r="H340" s="44"/>
      <c r="I340" s="44"/>
      <c r="J340" s="118"/>
      <c r="K340" s="118"/>
      <c r="L340" s="118"/>
      <c r="M340" s="118"/>
      <c r="N340" s="118"/>
      <c r="O340" s="118"/>
      <c r="P340" s="118"/>
    </row>
    <row r="341" spans="4:16" ht="15" hidden="1" x14ac:dyDescent="0.2">
      <c r="D341" s="104"/>
      <c r="E341" s="33" t="s">
        <v>127</v>
      </c>
      <c r="F341" s="97" t="str">
        <f>IF(COUNTIF(E337:E340,FALSE)=4,"No Rating Selected",IF(F340="N/A","N/A",SUM(F337:F339)))</f>
        <v>No Rating Selected</v>
      </c>
      <c r="G341" s="44"/>
      <c r="H341" s="44"/>
      <c r="I341" s="44"/>
      <c r="J341" s="118"/>
      <c r="K341" s="118"/>
      <c r="L341" s="118"/>
      <c r="M341" s="118"/>
      <c r="N341" s="118"/>
      <c r="O341" s="118"/>
      <c r="P341" s="118"/>
    </row>
    <row r="342" spans="4:16" ht="15" hidden="1" x14ac:dyDescent="0.2">
      <c r="D342" s="102"/>
      <c r="E342" s="33" t="s">
        <v>128</v>
      </c>
      <c r="F342" s="97">
        <f>IF(C_444=TRUE,0,5)</f>
        <v>5</v>
      </c>
      <c r="G342" s="44"/>
      <c r="H342" s="44"/>
      <c r="I342" s="44"/>
      <c r="J342" s="118"/>
      <c r="K342" s="118"/>
      <c r="L342" s="118"/>
      <c r="M342" s="118"/>
      <c r="N342" s="118"/>
      <c r="O342" s="118"/>
      <c r="P342" s="118"/>
    </row>
    <row r="343" spans="4:16" ht="15" hidden="1" x14ac:dyDescent="0.2">
      <c r="D343" s="96"/>
      <c r="E343" s="33" t="s">
        <v>129</v>
      </c>
      <c r="F343" s="97" t="b">
        <f>IF(COUNTIF(E337:E340,TRUE)=1,TRUE,FALSE)</f>
        <v>0</v>
      </c>
      <c r="G343" s="44"/>
      <c r="H343" s="44"/>
      <c r="I343" s="44"/>
      <c r="J343" s="118"/>
      <c r="K343" s="118"/>
      <c r="L343" s="118"/>
      <c r="M343" s="118"/>
      <c r="N343" s="118"/>
      <c r="O343" s="118"/>
      <c r="P343" s="118"/>
    </row>
    <row r="344" spans="4:16" hidden="1" x14ac:dyDescent="0.2">
      <c r="D344" s="98"/>
      <c r="E344" s="44"/>
      <c r="F344" s="99"/>
      <c r="G344" s="44"/>
      <c r="H344" s="44"/>
      <c r="I344" s="44"/>
      <c r="J344" s="118"/>
      <c r="K344" s="118"/>
      <c r="L344" s="118"/>
      <c r="M344" s="118"/>
      <c r="N344" s="118"/>
      <c r="O344" s="118"/>
      <c r="P344" s="118"/>
    </row>
    <row r="345" spans="4:16" hidden="1" x14ac:dyDescent="0.2">
      <c r="D345" s="100"/>
      <c r="E345" s="51" t="s">
        <v>133</v>
      </c>
      <c r="F345" s="101"/>
      <c r="G345" s="44"/>
      <c r="H345" s="44"/>
      <c r="I345" s="44"/>
      <c r="J345" s="118"/>
      <c r="K345" s="118"/>
      <c r="L345" s="118"/>
      <c r="M345" s="118"/>
      <c r="N345" s="118"/>
      <c r="O345" s="118"/>
      <c r="P345" s="118"/>
    </row>
    <row r="346" spans="4:16" hidden="1" x14ac:dyDescent="0.2">
      <c r="D346" s="91" t="s">
        <v>123</v>
      </c>
      <c r="E346" s="69" t="b">
        <v>0</v>
      </c>
      <c r="F346" s="92">
        <f>IF(C_451=TRUE,5,0)</f>
        <v>0</v>
      </c>
      <c r="G346" s="44"/>
      <c r="H346" s="44"/>
      <c r="I346" s="44"/>
      <c r="J346" s="118"/>
      <c r="K346" s="118"/>
      <c r="L346" s="118"/>
      <c r="M346" s="118"/>
      <c r="N346" s="118"/>
      <c r="O346" s="118"/>
      <c r="P346" s="118"/>
    </row>
    <row r="347" spans="4:16" hidden="1" x14ac:dyDescent="0.2">
      <c r="D347" s="93" t="s">
        <v>124</v>
      </c>
      <c r="E347" s="77" t="b">
        <v>0</v>
      </c>
      <c r="F347" s="94">
        <f>IF(C_452=TRUE,3,0)</f>
        <v>0</v>
      </c>
      <c r="G347" s="44"/>
      <c r="H347" s="44"/>
      <c r="I347" s="44"/>
      <c r="J347" s="118"/>
      <c r="K347" s="118"/>
      <c r="L347" s="118"/>
      <c r="M347" s="118"/>
      <c r="N347" s="118"/>
      <c r="O347" s="118"/>
      <c r="P347" s="118"/>
    </row>
    <row r="348" spans="4:16" hidden="1" x14ac:dyDescent="0.2">
      <c r="D348" s="93" t="s">
        <v>125</v>
      </c>
      <c r="E348" s="70" t="b">
        <v>0</v>
      </c>
      <c r="F348" s="94">
        <f>IF(C_453=TRUE,1,0)</f>
        <v>0</v>
      </c>
      <c r="G348" s="44"/>
      <c r="H348" s="44"/>
      <c r="I348" s="44"/>
      <c r="J348" s="118"/>
      <c r="K348" s="118"/>
      <c r="L348" s="118"/>
      <c r="M348" s="118"/>
      <c r="N348" s="118"/>
      <c r="O348" s="118"/>
      <c r="P348" s="118"/>
    </row>
    <row r="349" spans="4:16" hidden="1" x14ac:dyDescent="0.2">
      <c r="D349" s="95" t="s">
        <v>126</v>
      </c>
      <c r="E349" s="77" t="b">
        <v>0</v>
      </c>
      <c r="F349" s="94">
        <f>IF(C_454=TRUE,"N/A",0)</f>
        <v>0</v>
      </c>
      <c r="G349" s="44"/>
      <c r="H349" s="44"/>
      <c r="I349" s="44"/>
      <c r="J349" s="118"/>
      <c r="K349" s="118"/>
      <c r="L349" s="118"/>
      <c r="M349" s="118"/>
      <c r="N349" s="118"/>
      <c r="O349" s="118"/>
      <c r="P349" s="118"/>
    </row>
    <row r="350" spans="4:16" ht="15" hidden="1" x14ac:dyDescent="0.2">
      <c r="D350" s="104"/>
      <c r="E350" s="33" t="s">
        <v>127</v>
      </c>
      <c r="F350" s="97" t="str">
        <f>IF(COUNTIF(E346:E349,FALSE)=4,"No Rating Selected",IF(F349="N/A","N/A",SUM(F346:F348)))</f>
        <v>No Rating Selected</v>
      </c>
      <c r="G350" s="44"/>
      <c r="H350" s="44"/>
      <c r="I350" s="44"/>
      <c r="J350" s="118"/>
      <c r="K350" s="118"/>
      <c r="L350" s="118"/>
      <c r="M350" s="118"/>
      <c r="N350" s="118"/>
      <c r="O350" s="118"/>
      <c r="P350" s="118"/>
    </row>
    <row r="351" spans="4:16" ht="15" hidden="1" x14ac:dyDescent="0.2">
      <c r="D351" s="102"/>
      <c r="E351" s="33" t="s">
        <v>128</v>
      </c>
      <c r="F351" s="97">
        <f>IF(C_454=TRUE,0,5)</f>
        <v>5</v>
      </c>
      <c r="G351" s="44"/>
      <c r="H351" s="44"/>
      <c r="I351" s="44"/>
      <c r="J351" s="118"/>
      <c r="K351" s="118"/>
      <c r="L351" s="118"/>
      <c r="M351" s="118"/>
      <c r="N351" s="118"/>
      <c r="O351" s="118"/>
      <c r="P351" s="118"/>
    </row>
    <row r="352" spans="4:16" ht="15" hidden="1" x14ac:dyDescent="0.2">
      <c r="D352" s="96"/>
      <c r="E352" s="33" t="s">
        <v>129</v>
      </c>
      <c r="F352" s="97" t="b">
        <f>IF(COUNTIF(E346:E349,TRUE)=1,TRUE,FALSE)</f>
        <v>0</v>
      </c>
      <c r="G352" s="44"/>
      <c r="H352" s="44"/>
      <c r="I352" s="44"/>
      <c r="J352" s="118"/>
      <c r="K352" s="118"/>
      <c r="L352" s="118"/>
      <c r="M352" s="118"/>
      <c r="N352" s="118"/>
      <c r="O352" s="118"/>
      <c r="P352" s="118"/>
    </row>
    <row r="353" spans="4:16" hidden="1" x14ac:dyDescent="0.2">
      <c r="D353" s="98"/>
      <c r="E353" s="44"/>
      <c r="F353" s="99"/>
      <c r="G353" s="44"/>
      <c r="H353" s="44"/>
      <c r="I353" s="44"/>
      <c r="J353" s="118"/>
      <c r="K353" s="118"/>
      <c r="L353" s="118"/>
      <c r="M353" s="118"/>
      <c r="N353" s="118"/>
      <c r="O353" s="118"/>
      <c r="P353" s="118"/>
    </row>
    <row r="354" spans="4:16" ht="15" hidden="1" x14ac:dyDescent="0.25">
      <c r="D354" s="197" t="s">
        <v>181</v>
      </c>
      <c r="E354" s="198"/>
      <c r="F354" s="97" t="str">
        <f>IF(COUNTIF(E310:E349,FALSE)=20,"Status: Not Yet Started",IF(COUNTIF(F310:F352,TRUE)=5,"Status: Completed","Status: Work in Progress"))</f>
        <v>Status: Not Yet Started</v>
      </c>
      <c r="G354" s="44"/>
      <c r="H354" s="44"/>
      <c r="I354" s="44"/>
      <c r="J354" s="118"/>
      <c r="K354" s="118"/>
      <c r="L354" s="118"/>
      <c r="M354" s="118"/>
      <c r="N354" s="118"/>
      <c r="O354" s="118"/>
      <c r="P354" s="118"/>
    </row>
    <row r="355" spans="4:16" ht="15.75" hidden="1" thickBot="1" x14ac:dyDescent="0.25">
      <c r="D355" s="261" t="s">
        <v>145</v>
      </c>
      <c r="E355" s="262"/>
      <c r="F355" s="114">
        <f>SUM(F315,F324,F333,F342,F351)</f>
        <v>25</v>
      </c>
      <c r="G355" s="44"/>
      <c r="H355" s="44"/>
      <c r="I355" s="44"/>
      <c r="J355" s="118"/>
      <c r="K355" s="118"/>
      <c r="L355" s="118"/>
      <c r="M355" s="118"/>
      <c r="N355" s="118"/>
      <c r="O355" s="118"/>
      <c r="P355" s="118"/>
    </row>
    <row r="356" spans="4:16" hidden="1" x14ac:dyDescent="0.2">
      <c r="D356" s="44"/>
      <c r="E356" s="44"/>
      <c r="F356" s="44"/>
      <c r="G356" s="44"/>
      <c r="H356" s="44"/>
      <c r="I356" s="44"/>
      <c r="J356" s="118"/>
      <c r="K356" s="118"/>
      <c r="L356" s="118"/>
      <c r="M356" s="118"/>
      <c r="N356" s="118"/>
      <c r="O356" s="118"/>
      <c r="P356" s="118"/>
    </row>
    <row r="357" spans="4:16" ht="15" hidden="1" thickBot="1" x14ac:dyDescent="0.25">
      <c r="D357" s="44"/>
      <c r="E357" s="44"/>
      <c r="F357" s="44"/>
      <c r="G357" s="44"/>
      <c r="H357" s="44"/>
      <c r="I357" s="44"/>
      <c r="J357" s="118"/>
      <c r="K357" s="118"/>
      <c r="L357" s="118"/>
      <c r="M357" s="118"/>
      <c r="N357" s="118"/>
      <c r="O357" s="118"/>
      <c r="P357" s="118"/>
    </row>
    <row r="358" spans="4:16" ht="15.75" hidden="1" thickBot="1" x14ac:dyDescent="0.3">
      <c r="D358" s="255" t="s">
        <v>182</v>
      </c>
      <c r="E358" s="256"/>
      <c r="F358" s="257"/>
      <c r="G358" s="44"/>
      <c r="H358" s="44"/>
      <c r="I358" s="44"/>
      <c r="J358" s="118"/>
      <c r="K358" s="118"/>
      <c r="L358" s="118"/>
      <c r="M358" s="118"/>
      <c r="N358" s="118"/>
      <c r="O358" s="118"/>
      <c r="P358" s="118"/>
    </row>
    <row r="359" spans="4:16" hidden="1" x14ac:dyDescent="0.2">
      <c r="D359" s="89"/>
      <c r="E359" s="88" t="s">
        <v>122</v>
      </c>
      <c r="F359" s="90"/>
      <c r="G359" s="44"/>
      <c r="H359" s="44"/>
      <c r="I359" s="44"/>
      <c r="J359" s="118"/>
      <c r="K359" s="118"/>
      <c r="L359" s="118"/>
      <c r="M359" s="118"/>
      <c r="N359" s="118"/>
      <c r="O359" s="118"/>
      <c r="P359" s="118"/>
    </row>
    <row r="360" spans="4:16" hidden="1" x14ac:dyDescent="0.2">
      <c r="D360" s="91" t="s">
        <v>123</v>
      </c>
      <c r="E360" s="69" t="b">
        <v>0</v>
      </c>
      <c r="F360" s="92">
        <f>IF(C_511=TRUE,5,0)</f>
        <v>0</v>
      </c>
      <c r="G360" s="44"/>
      <c r="H360" s="44"/>
      <c r="I360" s="44"/>
      <c r="J360" s="118"/>
      <c r="K360" s="118"/>
      <c r="L360" s="118"/>
      <c r="M360" s="118"/>
      <c r="N360" s="118"/>
      <c r="O360" s="118"/>
      <c r="P360" s="118"/>
    </row>
    <row r="361" spans="4:16" hidden="1" x14ac:dyDescent="0.2">
      <c r="D361" s="93" t="s">
        <v>124</v>
      </c>
      <c r="E361" s="70" t="b">
        <v>0</v>
      </c>
      <c r="F361" s="94">
        <f>IF(C_512=TRUE,3,0)</f>
        <v>0</v>
      </c>
      <c r="G361" s="44"/>
      <c r="H361" s="44"/>
      <c r="I361" s="44"/>
      <c r="J361" s="118"/>
      <c r="K361" s="118"/>
      <c r="L361" s="118"/>
      <c r="M361" s="118"/>
      <c r="N361" s="118"/>
      <c r="O361" s="118"/>
      <c r="P361" s="118"/>
    </row>
    <row r="362" spans="4:16" hidden="1" x14ac:dyDescent="0.2">
      <c r="D362" s="93" t="s">
        <v>125</v>
      </c>
      <c r="E362" s="70" t="b">
        <v>0</v>
      </c>
      <c r="F362" s="94">
        <f>IF(C_513=TRUE,1,0)</f>
        <v>0</v>
      </c>
      <c r="G362" s="44"/>
      <c r="H362" s="44"/>
      <c r="I362" s="44"/>
      <c r="J362" s="118"/>
      <c r="K362" s="118"/>
      <c r="L362" s="118"/>
      <c r="M362" s="118"/>
      <c r="N362" s="118"/>
      <c r="O362" s="118"/>
      <c r="P362" s="118"/>
    </row>
    <row r="363" spans="4:16" hidden="1" x14ac:dyDescent="0.2">
      <c r="D363" s="95" t="s">
        <v>126</v>
      </c>
      <c r="E363" s="77" t="b">
        <v>0</v>
      </c>
      <c r="F363" s="94">
        <f>IF(C_514=TRUE,"N/A",0)</f>
        <v>0</v>
      </c>
      <c r="G363" s="44"/>
      <c r="H363" s="44"/>
      <c r="I363" s="44"/>
      <c r="J363" s="118"/>
      <c r="K363" s="118"/>
      <c r="L363" s="118"/>
      <c r="M363" s="118"/>
      <c r="N363" s="118"/>
      <c r="O363" s="118"/>
      <c r="P363" s="118"/>
    </row>
    <row r="364" spans="4:16" ht="15" hidden="1" x14ac:dyDescent="0.2">
      <c r="D364" s="96"/>
      <c r="E364" s="33" t="s">
        <v>127</v>
      </c>
      <c r="F364" s="97" t="str">
        <f>IF(COUNTIF(E360:E363,FALSE)=4,"No Rating Selected",IF(F363="N/A","N/A",SUM(F360:F362)))</f>
        <v>No Rating Selected</v>
      </c>
      <c r="G364" s="44"/>
      <c r="H364" s="44"/>
      <c r="I364" s="44"/>
      <c r="J364" s="118"/>
      <c r="K364" s="118"/>
      <c r="L364" s="118"/>
      <c r="M364" s="118"/>
      <c r="N364" s="118"/>
      <c r="O364" s="118"/>
      <c r="P364" s="118"/>
    </row>
    <row r="365" spans="4:16" ht="15" hidden="1" x14ac:dyDescent="0.2">
      <c r="D365" s="96"/>
      <c r="E365" s="33" t="s">
        <v>128</v>
      </c>
      <c r="F365" s="97">
        <f>IF(C_514=TRUE,0,5)</f>
        <v>5</v>
      </c>
      <c r="G365" s="44"/>
      <c r="H365" s="44"/>
      <c r="I365" s="44"/>
      <c r="J365" s="118"/>
      <c r="K365" s="118"/>
      <c r="L365" s="118"/>
      <c r="M365" s="118"/>
      <c r="N365" s="118"/>
      <c r="O365" s="118"/>
      <c r="P365" s="118"/>
    </row>
    <row r="366" spans="4:16" ht="15" hidden="1" x14ac:dyDescent="0.2">
      <c r="D366" s="96"/>
      <c r="E366" s="33" t="s">
        <v>129</v>
      </c>
      <c r="F366" s="97" t="b">
        <f>IF(COUNTIF(E360:E363,TRUE)=1,TRUE,FALSE)</f>
        <v>0</v>
      </c>
      <c r="G366" s="44"/>
      <c r="H366" s="44"/>
      <c r="I366" s="44"/>
      <c r="J366" s="118"/>
      <c r="K366" s="118"/>
      <c r="L366" s="118"/>
      <c r="M366" s="118"/>
      <c r="N366" s="118"/>
      <c r="O366" s="118"/>
      <c r="P366" s="118"/>
    </row>
    <row r="367" spans="4:16" hidden="1" x14ac:dyDescent="0.2">
      <c r="D367" s="98"/>
      <c r="E367" s="44"/>
      <c r="F367" s="99"/>
      <c r="G367" s="44"/>
      <c r="H367" s="44"/>
      <c r="I367" s="44"/>
      <c r="J367" s="118"/>
      <c r="K367" s="118"/>
      <c r="L367" s="118"/>
      <c r="M367" s="118"/>
      <c r="N367" s="118"/>
      <c r="O367" s="118"/>
      <c r="P367" s="118"/>
    </row>
    <row r="368" spans="4:16" hidden="1" x14ac:dyDescent="0.2">
      <c r="D368" s="100"/>
      <c r="E368" s="51" t="s">
        <v>130</v>
      </c>
      <c r="F368" s="101"/>
      <c r="G368" s="44"/>
      <c r="H368" s="44"/>
      <c r="I368" s="44"/>
      <c r="J368" s="118"/>
      <c r="K368" s="118"/>
      <c r="L368" s="118"/>
      <c r="M368" s="118"/>
      <c r="N368" s="118"/>
      <c r="O368" s="118"/>
      <c r="P368" s="118"/>
    </row>
    <row r="369" spans="4:16" hidden="1" x14ac:dyDescent="0.2">
      <c r="D369" s="91" t="s">
        <v>123</v>
      </c>
      <c r="E369" s="69" t="b">
        <v>0</v>
      </c>
      <c r="F369" s="92">
        <f>IF(C_521=TRUE,5,0)</f>
        <v>0</v>
      </c>
      <c r="G369" s="44"/>
      <c r="H369" s="44"/>
      <c r="I369" s="44"/>
      <c r="J369" s="118"/>
      <c r="K369" s="118"/>
      <c r="L369" s="118"/>
      <c r="M369" s="118"/>
      <c r="N369" s="118"/>
      <c r="O369" s="118"/>
      <c r="P369" s="118"/>
    </row>
    <row r="370" spans="4:16" hidden="1" x14ac:dyDescent="0.2">
      <c r="D370" s="93" t="s">
        <v>124</v>
      </c>
      <c r="E370" s="77" t="b">
        <v>0</v>
      </c>
      <c r="F370" s="94">
        <f>IF(C_522=TRUE,3,0)</f>
        <v>0</v>
      </c>
      <c r="G370" s="44"/>
      <c r="H370" s="44"/>
      <c r="I370" s="44"/>
      <c r="J370" s="118"/>
      <c r="K370" s="118"/>
      <c r="L370" s="118"/>
      <c r="M370" s="118"/>
      <c r="N370" s="118"/>
      <c r="O370" s="118"/>
      <c r="P370" s="118"/>
    </row>
    <row r="371" spans="4:16" hidden="1" x14ac:dyDescent="0.2">
      <c r="D371" s="93" t="s">
        <v>125</v>
      </c>
      <c r="E371" s="77" t="b">
        <v>0</v>
      </c>
      <c r="F371" s="94">
        <f>IF(C_523=TRUE,1,0)</f>
        <v>0</v>
      </c>
      <c r="G371" s="44"/>
      <c r="H371" s="44"/>
      <c r="I371" s="44"/>
      <c r="J371" s="118"/>
      <c r="K371" s="118"/>
      <c r="L371" s="118"/>
      <c r="M371" s="118"/>
      <c r="N371" s="118"/>
      <c r="O371" s="118"/>
      <c r="P371" s="118"/>
    </row>
    <row r="372" spans="4:16" hidden="1" x14ac:dyDescent="0.2">
      <c r="D372" s="95" t="s">
        <v>126</v>
      </c>
      <c r="E372" s="77" t="b">
        <v>0</v>
      </c>
      <c r="F372" s="94">
        <f>IF(C_524=TRUE,"N/A",0)</f>
        <v>0</v>
      </c>
      <c r="G372" s="44"/>
      <c r="H372" s="44"/>
      <c r="I372" s="44"/>
      <c r="J372" s="118"/>
      <c r="K372" s="118"/>
      <c r="L372" s="118"/>
      <c r="M372" s="118"/>
      <c r="N372" s="118"/>
      <c r="O372" s="118"/>
      <c r="P372" s="118"/>
    </row>
    <row r="373" spans="4:16" ht="15" hidden="1" x14ac:dyDescent="0.2">
      <c r="D373" s="102"/>
      <c r="E373" s="33" t="s">
        <v>127</v>
      </c>
      <c r="F373" s="97" t="str">
        <f>IF(COUNTIF(E369:E372,FALSE)=4,"No Rating Selected",IF(F372="N/A","N/A",SUM(F369:F371)))</f>
        <v>No Rating Selected</v>
      </c>
      <c r="G373" s="44"/>
      <c r="H373" s="44"/>
      <c r="I373" s="44"/>
      <c r="J373" s="118"/>
      <c r="K373" s="118"/>
      <c r="L373" s="118"/>
      <c r="M373" s="118"/>
      <c r="N373" s="118"/>
      <c r="O373" s="118"/>
      <c r="P373" s="118"/>
    </row>
    <row r="374" spans="4:16" ht="15" hidden="1" x14ac:dyDescent="0.2">
      <c r="D374" s="96"/>
      <c r="E374" s="33" t="s">
        <v>128</v>
      </c>
      <c r="F374" s="97">
        <f>IF(C_524=TRUE,0,5)</f>
        <v>5</v>
      </c>
      <c r="G374" s="44"/>
      <c r="H374" s="44"/>
      <c r="I374" s="44"/>
      <c r="J374" s="118"/>
      <c r="K374" s="118"/>
      <c r="L374" s="118"/>
      <c r="M374" s="118"/>
      <c r="N374" s="118"/>
      <c r="O374" s="118"/>
      <c r="P374" s="118"/>
    </row>
    <row r="375" spans="4:16" ht="15" hidden="1" x14ac:dyDescent="0.2">
      <c r="D375" s="102"/>
      <c r="E375" s="33" t="s">
        <v>129</v>
      </c>
      <c r="F375" s="97" t="b">
        <f>IF(COUNTIF(E369:E372,TRUE)=1,TRUE,FALSE)</f>
        <v>0</v>
      </c>
      <c r="G375" s="44"/>
      <c r="H375" s="44"/>
      <c r="I375" s="44"/>
      <c r="J375" s="118"/>
      <c r="K375" s="118"/>
      <c r="L375" s="118"/>
      <c r="M375" s="118"/>
      <c r="N375" s="118"/>
      <c r="O375" s="118"/>
      <c r="P375" s="118"/>
    </row>
    <row r="376" spans="4:16" hidden="1" x14ac:dyDescent="0.2">
      <c r="D376" s="98"/>
      <c r="E376" s="44"/>
      <c r="F376" s="99"/>
      <c r="G376" s="44"/>
      <c r="H376" s="44"/>
      <c r="I376" s="44"/>
      <c r="J376" s="118"/>
      <c r="K376" s="118"/>
      <c r="L376" s="118"/>
      <c r="M376" s="118"/>
      <c r="N376" s="118"/>
      <c r="O376" s="118"/>
      <c r="P376" s="118"/>
    </row>
    <row r="377" spans="4:16" hidden="1" x14ac:dyDescent="0.2">
      <c r="D377" s="100"/>
      <c r="E377" s="51" t="s">
        <v>131</v>
      </c>
      <c r="F377" s="101"/>
      <c r="G377" s="44"/>
      <c r="H377" s="44"/>
      <c r="I377" s="44"/>
      <c r="J377" s="118"/>
      <c r="K377" s="118"/>
      <c r="L377" s="118"/>
      <c r="M377" s="118"/>
      <c r="N377" s="118"/>
      <c r="O377" s="118"/>
      <c r="P377" s="118"/>
    </row>
    <row r="378" spans="4:16" hidden="1" x14ac:dyDescent="0.2">
      <c r="D378" s="91" t="s">
        <v>123</v>
      </c>
      <c r="E378" s="69" t="b">
        <v>0</v>
      </c>
      <c r="F378" s="92">
        <f>IF(C_531=TRUE,5,0)</f>
        <v>0</v>
      </c>
      <c r="G378" s="44"/>
      <c r="H378" s="44"/>
      <c r="I378" s="44"/>
      <c r="J378" s="118"/>
      <c r="K378" s="118"/>
      <c r="L378" s="118"/>
      <c r="M378" s="118"/>
      <c r="N378" s="118"/>
      <c r="O378" s="118"/>
      <c r="P378" s="118"/>
    </row>
    <row r="379" spans="4:16" hidden="1" x14ac:dyDescent="0.2">
      <c r="D379" s="93" t="s">
        <v>124</v>
      </c>
      <c r="E379" s="77" t="b">
        <v>0</v>
      </c>
      <c r="F379" s="94">
        <f>IF(C_532=TRUE,3,0)</f>
        <v>0</v>
      </c>
      <c r="G379" s="44"/>
      <c r="H379" s="44"/>
      <c r="I379" s="44"/>
      <c r="J379" s="118"/>
      <c r="K379" s="118"/>
      <c r="L379" s="118"/>
      <c r="M379" s="118"/>
      <c r="N379" s="118"/>
      <c r="O379" s="118"/>
      <c r="P379" s="118"/>
    </row>
    <row r="380" spans="4:16" hidden="1" x14ac:dyDescent="0.2">
      <c r="D380" s="93" t="s">
        <v>125</v>
      </c>
      <c r="E380" s="70" t="b">
        <v>0</v>
      </c>
      <c r="F380" s="94">
        <f>IF(C_533=TRUE,1,0)</f>
        <v>0</v>
      </c>
      <c r="G380" s="44"/>
      <c r="H380" s="44"/>
      <c r="I380" s="44"/>
      <c r="J380" s="118"/>
      <c r="K380" s="118"/>
      <c r="L380" s="118"/>
      <c r="M380" s="118"/>
      <c r="N380" s="118"/>
      <c r="O380" s="118"/>
      <c r="P380" s="118"/>
    </row>
    <row r="381" spans="4:16" hidden="1" x14ac:dyDescent="0.2">
      <c r="D381" s="95" t="s">
        <v>126</v>
      </c>
      <c r="E381" s="77" t="b">
        <v>0</v>
      </c>
      <c r="F381" s="94">
        <f>IF(C_534=TRUE,"N/A",0)</f>
        <v>0</v>
      </c>
      <c r="G381" s="44"/>
      <c r="H381" s="44"/>
      <c r="I381" s="44"/>
      <c r="J381" s="118"/>
      <c r="K381" s="118"/>
      <c r="L381" s="118"/>
      <c r="M381" s="118"/>
      <c r="N381" s="118"/>
      <c r="O381" s="118"/>
      <c r="P381" s="118"/>
    </row>
    <row r="382" spans="4:16" ht="15" hidden="1" x14ac:dyDescent="0.2">
      <c r="D382" s="104"/>
      <c r="E382" s="33" t="s">
        <v>127</v>
      </c>
      <c r="F382" s="97" t="str">
        <f>IF(COUNTIF(E378:E381,FALSE)=4,"No Rating Selected",IF(F381="N/A","N/A",SUM(F378:F380)))</f>
        <v>No Rating Selected</v>
      </c>
      <c r="G382" s="44"/>
      <c r="H382" s="44"/>
      <c r="I382" s="44"/>
      <c r="J382" s="118"/>
      <c r="K382" s="118"/>
      <c r="L382" s="118"/>
      <c r="M382" s="118"/>
      <c r="N382" s="118"/>
      <c r="O382" s="118"/>
      <c r="P382" s="118"/>
    </row>
    <row r="383" spans="4:16" ht="15" hidden="1" x14ac:dyDescent="0.2">
      <c r="D383" s="96"/>
      <c r="E383" s="33" t="s">
        <v>128</v>
      </c>
      <c r="F383" s="97">
        <f>IF(C_534=TRUE,0,5)</f>
        <v>5</v>
      </c>
      <c r="G383" s="44"/>
      <c r="H383" s="44"/>
      <c r="I383" s="44"/>
      <c r="J383" s="118"/>
      <c r="K383" s="118"/>
      <c r="L383" s="118"/>
      <c r="M383" s="118"/>
      <c r="N383" s="118"/>
      <c r="O383" s="118"/>
      <c r="P383" s="118"/>
    </row>
    <row r="384" spans="4:16" ht="15" hidden="1" x14ac:dyDescent="0.2">
      <c r="D384" s="96"/>
      <c r="E384" s="33" t="s">
        <v>129</v>
      </c>
      <c r="F384" s="97" t="b">
        <f>IF(COUNTIF(E378:E381,TRUE)=1,TRUE,FALSE)</f>
        <v>0</v>
      </c>
      <c r="G384" s="44"/>
      <c r="H384" s="44"/>
      <c r="I384" s="44"/>
      <c r="J384" s="118"/>
      <c r="K384" s="118"/>
      <c r="L384" s="118"/>
      <c r="M384" s="118"/>
      <c r="N384" s="118"/>
      <c r="O384" s="118"/>
      <c r="P384" s="118"/>
    </row>
    <row r="385" spans="4:16" hidden="1" x14ac:dyDescent="0.2">
      <c r="D385" s="98"/>
      <c r="E385" s="44"/>
      <c r="F385" s="99"/>
      <c r="G385" s="44"/>
      <c r="H385" s="44"/>
      <c r="I385" s="44"/>
      <c r="J385" s="118"/>
      <c r="K385" s="118"/>
      <c r="L385" s="118"/>
      <c r="M385" s="118"/>
      <c r="N385" s="118"/>
      <c r="O385" s="118"/>
      <c r="P385" s="118"/>
    </row>
    <row r="386" spans="4:16" hidden="1" x14ac:dyDescent="0.2">
      <c r="D386" s="100"/>
      <c r="E386" s="51" t="s">
        <v>132</v>
      </c>
      <c r="F386" s="101"/>
      <c r="G386" s="44"/>
      <c r="H386" s="44"/>
      <c r="I386" s="44"/>
      <c r="J386" s="118"/>
      <c r="K386" s="118"/>
      <c r="L386" s="118"/>
      <c r="M386" s="118"/>
      <c r="N386" s="118"/>
      <c r="O386" s="118"/>
      <c r="P386" s="118"/>
    </row>
    <row r="387" spans="4:16" hidden="1" x14ac:dyDescent="0.2">
      <c r="D387" s="91" t="s">
        <v>123</v>
      </c>
      <c r="E387" s="69" t="b">
        <v>0</v>
      </c>
      <c r="F387" s="92">
        <f>IF(C_541=TRUE,5,0)</f>
        <v>0</v>
      </c>
      <c r="G387" s="44"/>
      <c r="H387" s="44"/>
      <c r="I387" s="44"/>
      <c r="J387" s="118"/>
      <c r="K387" s="118"/>
      <c r="L387" s="118"/>
      <c r="M387" s="118"/>
      <c r="N387" s="118"/>
      <c r="O387" s="118"/>
      <c r="P387" s="118"/>
    </row>
    <row r="388" spans="4:16" hidden="1" x14ac:dyDescent="0.2">
      <c r="D388" s="93" t="s">
        <v>124</v>
      </c>
      <c r="E388" s="77" t="b">
        <v>0</v>
      </c>
      <c r="F388" s="94">
        <f>IF(C_542=TRUE,3,0)</f>
        <v>0</v>
      </c>
      <c r="G388" s="44"/>
      <c r="H388" s="44"/>
      <c r="I388" s="44"/>
      <c r="J388" s="118"/>
      <c r="K388" s="118"/>
      <c r="L388" s="118"/>
      <c r="M388" s="118"/>
      <c r="N388" s="118"/>
      <c r="O388" s="118"/>
      <c r="P388" s="118"/>
    </row>
    <row r="389" spans="4:16" hidden="1" x14ac:dyDescent="0.2">
      <c r="D389" s="93" t="s">
        <v>125</v>
      </c>
      <c r="E389" s="70" t="b">
        <v>0</v>
      </c>
      <c r="F389" s="94">
        <f>IF(C_543=TRUE,1,0)</f>
        <v>0</v>
      </c>
      <c r="G389" s="44"/>
      <c r="H389" s="44"/>
      <c r="I389" s="78"/>
      <c r="J389" s="118"/>
      <c r="K389" s="118"/>
      <c r="L389" s="118"/>
      <c r="M389" s="118"/>
      <c r="N389" s="118"/>
      <c r="O389" s="118"/>
      <c r="P389" s="118"/>
    </row>
    <row r="390" spans="4:16" hidden="1" x14ac:dyDescent="0.2">
      <c r="D390" s="95" t="s">
        <v>126</v>
      </c>
      <c r="E390" s="77" t="b">
        <v>0</v>
      </c>
      <c r="F390" s="94">
        <f>IF(C_544=TRUE,"N/A",0)</f>
        <v>0</v>
      </c>
      <c r="G390" s="44"/>
      <c r="H390" s="44"/>
      <c r="I390" s="78"/>
      <c r="J390" s="118"/>
      <c r="K390" s="118"/>
      <c r="L390" s="118"/>
      <c r="M390" s="118"/>
      <c r="N390" s="118"/>
      <c r="O390" s="118"/>
      <c r="P390" s="118"/>
    </row>
    <row r="391" spans="4:16" ht="15" hidden="1" x14ac:dyDescent="0.2">
      <c r="D391" s="104"/>
      <c r="E391" s="33" t="s">
        <v>127</v>
      </c>
      <c r="F391" s="97" t="str">
        <f>IF(COUNTIF(E387:E390,FALSE)=4,"No Rating Selected",IF(F390="N/A","N/A",SUM(F387:F389)))</f>
        <v>No Rating Selected</v>
      </c>
      <c r="G391" s="44"/>
      <c r="H391" s="44"/>
      <c r="I391" s="78"/>
      <c r="J391" s="118"/>
      <c r="K391" s="118"/>
      <c r="L391" s="118"/>
      <c r="M391" s="118"/>
      <c r="N391" s="118"/>
      <c r="O391" s="118"/>
      <c r="P391" s="118"/>
    </row>
    <row r="392" spans="4:16" ht="15" hidden="1" x14ac:dyDescent="0.2">
      <c r="D392" s="96"/>
      <c r="E392" s="33" t="s">
        <v>128</v>
      </c>
      <c r="F392" s="97">
        <f>IF(C_544=TRUE,0,5)</f>
        <v>5</v>
      </c>
      <c r="G392" s="44"/>
      <c r="H392" s="44"/>
      <c r="I392" s="78"/>
      <c r="J392" s="118"/>
      <c r="K392" s="118"/>
      <c r="L392" s="118"/>
      <c r="M392" s="118"/>
      <c r="N392" s="118"/>
      <c r="O392" s="118"/>
      <c r="P392" s="118"/>
    </row>
    <row r="393" spans="4:16" ht="15" hidden="1" x14ac:dyDescent="0.2">
      <c r="D393" s="96"/>
      <c r="E393" s="33" t="s">
        <v>129</v>
      </c>
      <c r="F393" s="97" t="b">
        <f>IF(COUNTIF(E387:E390,TRUE)=1,TRUE,FALSE)</f>
        <v>0</v>
      </c>
      <c r="G393" s="44"/>
      <c r="H393" s="44"/>
      <c r="I393" s="78"/>
      <c r="J393" s="118"/>
      <c r="K393" s="118"/>
      <c r="L393" s="118"/>
      <c r="M393" s="118"/>
      <c r="N393" s="118"/>
      <c r="O393" s="118"/>
      <c r="P393" s="118"/>
    </row>
    <row r="394" spans="4:16" ht="15" hidden="1" x14ac:dyDescent="0.2">
      <c r="D394" s="105"/>
      <c r="E394" s="106"/>
      <c r="F394" s="107"/>
      <c r="G394" s="44"/>
      <c r="H394" s="44"/>
      <c r="I394" s="78"/>
      <c r="J394" s="118"/>
      <c r="K394" s="118"/>
      <c r="L394" s="118"/>
      <c r="M394" s="118"/>
      <c r="N394" s="118"/>
      <c r="O394" s="118"/>
      <c r="P394" s="118"/>
    </row>
    <row r="395" spans="4:16" hidden="1" x14ac:dyDescent="0.2">
      <c r="D395" s="100"/>
      <c r="E395" s="51" t="s">
        <v>133</v>
      </c>
      <c r="F395" s="101"/>
      <c r="G395" s="44"/>
      <c r="H395" s="44"/>
      <c r="I395" s="78"/>
      <c r="J395" s="118"/>
      <c r="K395" s="118"/>
      <c r="L395" s="118"/>
      <c r="M395" s="118"/>
      <c r="N395" s="118"/>
      <c r="O395" s="118"/>
      <c r="P395" s="118"/>
    </row>
    <row r="396" spans="4:16" hidden="1" x14ac:dyDescent="0.2">
      <c r="D396" s="91" t="s">
        <v>123</v>
      </c>
      <c r="E396" s="69" t="b">
        <v>0</v>
      </c>
      <c r="F396" s="92" t="s">
        <v>183</v>
      </c>
      <c r="G396" s="44"/>
      <c r="H396" s="44"/>
      <c r="I396" s="78"/>
      <c r="J396" s="118"/>
      <c r="K396" s="118"/>
      <c r="L396" s="118"/>
      <c r="M396" s="118"/>
      <c r="N396" s="118"/>
      <c r="O396" s="118"/>
      <c r="P396" s="118"/>
    </row>
    <row r="397" spans="4:16" hidden="1" x14ac:dyDescent="0.2">
      <c r="D397" s="93" t="s">
        <v>124</v>
      </c>
      <c r="E397" s="70" t="b">
        <v>0</v>
      </c>
      <c r="F397" s="94" t="s">
        <v>184</v>
      </c>
      <c r="G397" s="44"/>
      <c r="H397" s="44"/>
      <c r="I397" s="44"/>
      <c r="J397" s="118"/>
      <c r="K397" s="118"/>
      <c r="L397" s="118"/>
      <c r="M397" s="118"/>
      <c r="N397" s="118"/>
      <c r="O397" s="118"/>
      <c r="P397" s="118"/>
    </row>
    <row r="398" spans="4:16" hidden="1" x14ac:dyDescent="0.2">
      <c r="D398" s="93" t="s">
        <v>125</v>
      </c>
      <c r="E398" s="77" t="b">
        <v>0</v>
      </c>
      <c r="F398" s="94" t="s">
        <v>185</v>
      </c>
      <c r="G398" s="44"/>
      <c r="H398" s="44"/>
      <c r="I398" s="44"/>
      <c r="J398" s="118"/>
      <c r="K398" s="118"/>
      <c r="L398" s="118"/>
      <c r="M398" s="118"/>
      <c r="N398" s="118"/>
      <c r="O398" s="118"/>
      <c r="P398" s="118"/>
    </row>
    <row r="399" spans="4:16" hidden="1" x14ac:dyDescent="0.2">
      <c r="D399" s="95" t="s">
        <v>126</v>
      </c>
      <c r="E399" s="77" t="b">
        <v>0</v>
      </c>
      <c r="F399" s="94" t="s">
        <v>186</v>
      </c>
      <c r="G399" s="44"/>
      <c r="H399" s="44"/>
      <c r="I399" s="44"/>
      <c r="J399" s="118"/>
      <c r="K399" s="118"/>
      <c r="L399" s="118"/>
      <c r="M399" s="118"/>
      <c r="N399" s="118"/>
      <c r="O399" s="118"/>
      <c r="P399" s="118"/>
    </row>
    <row r="400" spans="4:16" ht="15" hidden="1" x14ac:dyDescent="0.2">
      <c r="D400" s="104"/>
      <c r="E400" s="33" t="s">
        <v>127</v>
      </c>
      <c r="F400" s="112" t="s">
        <v>187</v>
      </c>
      <c r="G400" s="44"/>
      <c r="H400" s="44"/>
      <c r="I400" s="44"/>
      <c r="J400" s="118"/>
      <c r="K400" s="118"/>
      <c r="L400" s="118"/>
      <c r="M400" s="118"/>
      <c r="N400" s="118"/>
      <c r="O400" s="118"/>
      <c r="P400" s="118"/>
    </row>
    <row r="401" spans="4:16" ht="15" hidden="1" x14ac:dyDescent="0.2">
      <c r="D401" s="96"/>
      <c r="E401" s="33" t="s">
        <v>116</v>
      </c>
      <c r="F401" s="112" t="s">
        <v>188</v>
      </c>
      <c r="G401" s="44"/>
      <c r="H401" s="44"/>
      <c r="I401" s="44"/>
      <c r="J401" s="118"/>
      <c r="K401" s="118"/>
      <c r="L401" s="118"/>
      <c r="M401" s="118"/>
      <c r="N401" s="118"/>
      <c r="O401" s="118"/>
      <c r="P401" s="118"/>
    </row>
    <row r="402" spans="4:16" ht="15" hidden="1" x14ac:dyDescent="0.2">
      <c r="D402" s="96"/>
      <c r="E402" s="33" t="s">
        <v>129</v>
      </c>
      <c r="F402" s="112" t="s">
        <v>189</v>
      </c>
      <c r="G402" s="44"/>
      <c r="H402" s="44"/>
      <c r="I402" s="44"/>
      <c r="J402" s="118"/>
      <c r="K402" s="118"/>
      <c r="L402" s="118"/>
      <c r="M402" s="118"/>
      <c r="N402" s="118"/>
      <c r="O402" s="118"/>
      <c r="P402" s="118"/>
    </row>
    <row r="403" spans="4:16" ht="15" hidden="1" x14ac:dyDescent="0.2">
      <c r="D403" s="105"/>
      <c r="E403" s="106"/>
      <c r="F403" s="107"/>
      <c r="G403" s="44"/>
      <c r="H403" s="44"/>
      <c r="I403" s="44"/>
      <c r="J403" s="118"/>
      <c r="K403" s="118"/>
      <c r="L403" s="118"/>
      <c r="M403" s="118"/>
      <c r="N403" s="118"/>
      <c r="O403" s="118"/>
      <c r="P403" s="118"/>
    </row>
    <row r="404" spans="4:16" ht="15" hidden="1" x14ac:dyDescent="0.25">
      <c r="D404" s="197" t="s">
        <v>190</v>
      </c>
      <c r="E404" s="198"/>
      <c r="F404" s="97" t="str">
        <f>IF(COUNTIF(E360:E390,FALSE)=16,"Status: Not Yet Started",IF(COUNTIF(F360:F393,TRUE)=4,"Status: Completed","Status: Work in Progress"))</f>
        <v>Status: Not Yet Started</v>
      </c>
      <c r="G404" s="44"/>
      <c r="H404" s="44"/>
      <c r="I404" s="44"/>
      <c r="J404" s="118"/>
      <c r="K404" s="118"/>
      <c r="L404" s="118"/>
      <c r="M404" s="118"/>
      <c r="N404" s="118"/>
      <c r="O404" s="118"/>
      <c r="P404" s="118"/>
    </row>
    <row r="405" spans="4:16" ht="15.75" hidden="1" thickBot="1" x14ac:dyDescent="0.25">
      <c r="D405" s="261" t="s">
        <v>145</v>
      </c>
      <c r="E405" s="262"/>
      <c r="F405" s="114">
        <f>SUM(F365,F374,F383,F392)</f>
        <v>20</v>
      </c>
      <c r="G405" s="44"/>
      <c r="H405" s="44"/>
      <c r="I405" s="44"/>
      <c r="J405" s="118"/>
      <c r="K405" s="118"/>
      <c r="L405" s="118"/>
      <c r="M405" s="118"/>
      <c r="N405" s="118"/>
      <c r="O405" s="118"/>
      <c r="P405" s="118"/>
    </row>
    <row r="406" spans="4:16" hidden="1" x14ac:dyDescent="0.2">
      <c r="D406" s="44"/>
      <c r="E406" s="44"/>
      <c r="F406" s="44"/>
      <c r="G406" s="44"/>
      <c r="H406" s="44"/>
      <c r="I406" s="44"/>
      <c r="J406" s="118"/>
      <c r="K406" s="118"/>
      <c r="L406" s="118"/>
      <c r="M406" s="118"/>
      <c r="N406" s="118"/>
      <c r="O406" s="118"/>
      <c r="P406" s="118"/>
    </row>
    <row r="407" spans="4:16" ht="15" hidden="1" thickBot="1" x14ac:dyDescent="0.25">
      <c r="D407" s="44"/>
      <c r="E407" s="44"/>
      <c r="F407" s="44"/>
      <c r="G407" s="44"/>
      <c r="H407" s="44"/>
      <c r="I407" s="44"/>
      <c r="J407" s="118"/>
      <c r="K407" s="118"/>
      <c r="L407" s="118"/>
      <c r="M407" s="118"/>
      <c r="N407" s="118"/>
      <c r="O407" s="118"/>
      <c r="P407" s="118"/>
    </row>
    <row r="408" spans="4:16" ht="15.75" hidden="1" thickBot="1" x14ac:dyDescent="0.3">
      <c r="D408" s="255" t="s">
        <v>191</v>
      </c>
      <c r="E408" s="256"/>
      <c r="F408" s="257"/>
      <c r="G408" s="44"/>
      <c r="H408" s="44"/>
      <c r="I408" s="44"/>
      <c r="J408" s="118"/>
      <c r="K408" s="118"/>
      <c r="L408" s="118"/>
      <c r="M408" s="118"/>
      <c r="N408" s="118"/>
      <c r="O408" s="118"/>
      <c r="P408" s="118"/>
    </row>
    <row r="409" spans="4:16" hidden="1" x14ac:dyDescent="0.2">
      <c r="D409" s="89"/>
      <c r="E409" s="88" t="s">
        <v>122</v>
      </c>
      <c r="F409" s="90"/>
      <c r="G409" s="44"/>
      <c r="H409" s="44"/>
      <c r="I409" s="44"/>
      <c r="J409" s="118"/>
      <c r="K409" s="118"/>
      <c r="L409" s="118"/>
      <c r="M409" s="118"/>
      <c r="N409" s="118"/>
      <c r="O409" s="118"/>
      <c r="P409" s="118"/>
    </row>
    <row r="410" spans="4:16" hidden="1" x14ac:dyDescent="0.2">
      <c r="D410" s="91" t="s">
        <v>123</v>
      </c>
      <c r="E410" s="69" t="b">
        <v>0</v>
      </c>
      <c r="F410" s="92">
        <f>IF(C_611=TRUE,5,0)</f>
        <v>0</v>
      </c>
      <c r="G410" s="44"/>
      <c r="H410" s="44"/>
      <c r="I410" s="44"/>
      <c r="J410" s="118"/>
      <c r="K410" s="118"/>
      <c r="L410" s="118"/>
      <c r="M410" s="118"/>
      <c r="N410" s="118"/>
      <c r="O410" s="118"/>
      <c r="P410" s="118"/>
    </row>
    <row r="411" spans="4:16" hidden="1" x14ac:dyDescent="0.2">
      <c r="D411" s="93" t="s">
        <v>124</v>
      </c>
      <c r="E411" s="70" t="b">
        <v>0</v>
      </c>
      <c r="F411" s="94">
        <f>IF(C_612=TRUE,3,0)</f>
        <v>0</v>
      </c>
      <c r="G411" s="44"/>
      <c r="H411" s="44"/>
      <c r="I411" s="44"/>
      <c r="J411" s="118"/>
      <c r="K411" s="118"/>
      <c r="L411" s="118"/>
      <c r="M411" s="118"/>
      <c r="N411" s="118"/>
      <c r="O411" s="118"/>
      <c r="P411" s="118"/>
    </row>
    <row r="412" spans="4:16" hidden="1" x14ac:dyDescent="0.2">
      <c r="D412" s="93" t="s">
        <v>125</v>
      </c>
      <c r="E412" s="70" t="b">
        <v>0</v>
      </c>
      <c r="F412" s="94">
        <f>IF(C_613=TRUE,1,0)</f>
        <v>0</v>
      </c>
      <c r="G412" s="44"/>
      <c r="H412" s="44"/>
      <c r="I412" s="44"/>
      <c r="J412" s="118"/>
      <c r="K412" s="118"/>
      <c r="L412" s="118"/>
      <c r="M412" s="118"/>
      <c r="N412" s="118"/>
      <c r="O412" s="118"/>
      <c r="P412" s="118"/>
    </row>
    <row r="413" spans="4:16" hidden="1" x14ac:dyDescent="0.2">
      <c r="D413" s="95" t="s">
        <v>126</v>
      </c>
      <c r="E413" s="77" t="b">
        <v>0</v>
      </c>
      <c r="F413" s="94">
        <f>IF(C_614=TRUE,"N/A",)</f>
        <v>0</v>
      </c>
      <c r="G413" s="44"/>
      <c r="H413" s="44"/>
      <c r="I413" s="44"/>
      <c r="J413" s="118"/>
      <c r="K413" s="118"/>
      <c r="L413" s="118"/>
      <c r="M413" s="118"/>
      <c r="N413" s="118"/>
      <c r="O413" s="118"/>
      <c r="P413" s="118"/>
    </row>
    <row r="414" spans="4:16" ht="15" hidden="1" x14ac:dyDescent="0.2">
      <c r="D414" s="96"/>
      <c r="E414" s="33" t="s">
        <v>127</v>
      </c>
      <c r="F414" s="97" t="str">
        <f>IF(COUNTIF(E410:E413,FALSE)=4,"No Rating Selected",IF(F413="N/A","N/A",SUM(F410:F412)))</f>
        <v>No Rating Selected</v>
      </c>
      <c r="G414" s="44"/>
      <c r="H414" s="44"/>
      <c r="I414" s="44"/>
      <c r="J414" s="118"/>
      <c r="K414" s="118"/>
      <c r="L414" s="118"/>
      <c r="M414" s="118"/>
      <c r="N414" s="118"/>
      <c r="O414" s="118"/>
      <c r="P414" s="118"/>
    </row>
    <row r="415" spans="4:16" ht="15" hidden="1" x14ac:dyDescent="0.2">
      <c r="D415" s="96"/>
      <c r="E415" s="33" t="s">
        <v>128</v>
      </c>
      <c r="F415" s="97">
        <f>IF(C_614=TRUE,0,5)</f>
        <v>5</v>
      </c>
      <c r="G415" s="44"/>
      <c r="H415" s="44"/>
      <c r="I415" s="44"/>
      <c r="J415" s="118"/>
      <c r="K415" s="118"/>
      <c r="L415" s="118"/>
      <c r="M415" s="118"/>
      <c r="N415" s="118"/>
      <c r="O415" s="118"/>
      <c r="P415" s="118"/>
    </row>
    <row r="416" spans="4:16" ht="15" hidden="1" x14ac:dyDescent="0.2">
      <c r="D416" s="96"/>
      <c r="E416" s="33" t="s">
        <v>129</v>
      </c>
      <c r="F416" s="97" t="b">
        <f>IF(COUNTIF(E410:E413,TRUE)=1,TRUE,FALSE)</f>
        <v>0</v>
      </c>
      <c r="G416" s="44"/>
      <c r="H416" s="44"/>
      <c r="I416" s="44"/>
      <c r="J416" s="118"/>
      <c r="K416" s="118"/>
      <c r="L416" s="118"/>
      <c r="M416" s="118"/>
      <c r="N416" s="118"/>
      <c r="O416" s="118"/>
      <c r="P416" s="118"/>
    </row>
    <row r="417" spans="4:16" hidden="1" x14ac:dyDescent="0.2">
      <c r="D417" s="98"/>
      <c r="E417" s="44"/>
      <c r="F417" s="99"/>
      <c r="G417" s="44"/>
      <c r="H417" s="44"/>
      <c r="I417" s="44"/>
      <c r="J417" s="118"/>
      <c r="K417" s="118"/>
      <c r="L417" s="118"/>
      <c r="M417" s="118"/>
      <c r="N417" s="118"/>
      <c r="O417" s="118"/>
      <c r="P417" s="118"/>
    </row>
    <row r="418" spans="4:16" hidden="1" x14ac:dyDescent="0.2">
      <c r="D418" s="100"/>
      <c r="E418" s="51" t="s">
        <v>130</v>
      </c>
      <c r="F418" s="101"/>
      <c r="G418" s="44"/>
      <c r="H418" s="44"/>
      <c r="I418" s="44"/>
      <c r="J418" s="118"/>
      <c r="K418" s="118"/>
      <c r="L418" s="118"/>
      <c r="M418" s="118"/>
      <c r="N418" s="118"/>
      <c r="O418" s="118"/>
      <c r="P418" s="118"/>
    </row>
    <row r="419" spans="4:16" hidden="1" x14ac:dyDescent="0.2">
      <c r="D419" s="91" t="s">
        <v>123</v>
      </c>
      <c r="E419" s="69" t="b">
        <v>0</v>
      </c>
      <c r="F419" s="92">
        <f>IF(C_621=TRUE,5,0)</f>
        <v>0</v>
      </c>
      <c r="G419" s="44"/>
      <c r="H419" s="44"/>
      <c r="I419" s="44"/>
      <c r="J419" s="118"/>
      <c r="K419" s="118"/>
      <c r="L419" s="118"/>
      <c r="M419" s="118"/>
      <c r="N419" s="118"/>
      <c r="O419" s="118"/>
      <c r="P419" s="118"/>
    </row>
    <row r="420" spans="4:16" hidden="1" x14ac:dyDescent="0.2">
      <c r="D420" s="93" t="s">
        <v>124</v>
      </c>
      <c r="E420" s="77" t="b">
        <v>0</v>
      </c>
      <c r="F420" s="94">
        <f>IF(C_622=TRUE,3,0)</f>
        <v>0</v>
      </c>
      <c r="G420" s="44"/>
      <c r="H420" s="44"/>
      <c r="I420" s="44"/>
      <c r="J420" s="118"/>
      <c r="K420" s="118"/>
      <c r="L420" s="118"/>
      <c r="M420" s="118"/>
      <c r="N420" s="118"/>
      <c r="O420" s="118"/>
      <c r="P420" s="118"/>
    </row>
    <row r="421" spans="4:16" hidden="1" x14ac:dyDescent="0.2">
      <c r="D421" s="93" t="s">
        <v>125</v>
      </c>
      <c r="E421" s="77" t="b">
        <v>0</v>
      </c>
      <c r="F421" s="94">
        <f>IF(C_623=TRUE,1,0)</f>
        <v>0</v>
      </c>
      <c r="G421" s="44"/>
      <c r="H421" s="44"/>
      <c r="I421" s="78"/>
      <c r="J421" s="118"/>
      <c r="K421" s="118"/>
      <c r="L421" s="118"/>
      <c r="M421" s="118"/>
      <c r="N421" s="118"/>
      <c r="O421" s="118"/>
      <c r="P421" s="118"/>
    </row>
    <row r="422" spans="4:16" hidden="1" x14ac:dyDescent="0.2">
      <c r="D422" s="95" t="s">
        <v>126</v>
      </c>
      <c r="E422" s="77" t="b">
        <v>0</v>
      </c>
      <c r="F422" s="94">
        <f>IF(C_624=TRUE,"N/A",0)</f>
        <v>0</v>
      </c>
      <c r="G422" s="44"/>
      <c r="H422" s="44"/>
      <c r="I422" s="78"/>
      <c r="J422" s="118"/>
      <c r="K422" s="118"/>
      <c r="L422" s="118"/>
      <c r="M422" s="118"/>
      <c r="N422" s="118"/>
      <c r="O422" s="118"/>
      <c r="P422" s="118"/>
    </row>
    <row r="423" spans="4:16" ht="15" hidden="1" x14ac:dyDescent="0.2">
      <c r="D423" s="102"/>
      <c r="E423" s="33" t="s">
        <v>127</v>
      </c>
      <c r="F423" s="97" t="str">
        <f>IF(COUNTIF(E419:E422,FALSE)=4,"No Rating Selected",IF(F422="N/A","N/A",SUM(F419:F421)))</f>
        <v>No Rating Selected</v>
      </c>
      <c r="G423" s="44"/>
      <c r="H423" s="44"/>
      <c r="I423" s="78"/>
      <c r="J423" s="118"/>
      <c r="K423" s="118"/>
      <c r="L423" s="118"/>
      <c r="M423" s="118"/>
      <c r="N423" s="118"/>
      <c r="O423" s="118"/>
      <c r="P423" s="118"/>
    </row>
    <row r="424" spans="4:16" ht="15" hidden="1" x14ac:dyDescent="0.2">
      <c r="D424" s="96"/>
      <c r="E424" s="33" t="s">
        <v>128</v>
      </c>
      <c r="F424" s="97">
        <f>IF(C_624=TRUE,0,5)</f>
        <v>5</v>
      </c>
      <c r="G424" s="44"/>
      <c r="H424" s="44"/>
      <c r="I424" s="78"/>
      <c r="J424" s="118"/>
      <c r="K424" s="118"/>
      <c r="L424" s="118"/>
      <c r="M424" s="118"/>
      <c r="N424" s="118"/>
      <c r="O424" s="118"/>
      <c r="P424" s="118"/>
    </row>
    <row r="425" spans="4:16" ht="15" hidden="1" x14ac:dyDescent="0.2">
      <c r="D425" s="102"/>
      <c r="E425" s="33" t="s">
        <v>129</v>
      </c>
      <c r="F425" s="97" t="b">
        <f>IF(COUNTIF(E419:E422,TRUE)=1,TRUE,FALSE)</f>
        <v>0</v>
      </c>
      <c r="G425" s="44"/>
      <c r="H425" s="44"/>
      <c r="I425" s="78"/>
      <c r="J425" s="118"/>
      <c r="K425" s="118"/>
      <c r="L425" s="118"/>
      <c r="M425" s="118"/>
      <c r="N425" s="118"/>
      <c r="O425" s="118"/>
      <c r="P425" s="118"/>
    </row>
    <row r="426" spans="4:16" ht="15" hidden="1" x14ac:dyDescent="0.2">
      <c r="D426" s="116"/>
      <c r="E426" s="106"/>
      <c r="F426" s="107"/>
      <c r="G426" s="44"/>
      <c r="H426" s="44"/>
      <c r="I426" s="78"/>
      <c r="J426" s="118"/>
      <c r="K426" s="118"/>
      <c r="L426" s="118"/>
      <c r="M426" s="118"/>
      <c r="N426" s="118"/>
      <c r="O426" s="118"/>
      <c r="P426" s="118"/>
    </row>
    <row r="427" spans="4:16" ht="15" hidden="1" x14ac:dyDescent="0.2">
      <c r="D427" s="108"/>
      <c r="E427" s="50" t="s">
        <v>131</v>
      </c>
      <c r="F427" s="109"/>
      <c r="G427" s="44"/>
      <c r="H427" s="44"/>
      <c r="I427" s="78"/>
      <c r="J427" s="118"/>
      <c r="K427" s="118"/>
      <c r="L427" s="118"/>
      <c r="M427" s="118"/>
      <c r="N427" s="118"/>
      <c r="O427" s="118"/>
      <c r="P427" s="118"/>
    </row>
    <row r="428" spans="4:16" hidden="1" x14ac:dyDescent="0.2">
      <c r="D428" s="91" t="s">
        <v>123</v>
      </c>
      <c r="E428" s="69" t="b">
        <v>0</v>
      </c>
      <c r="F428" s="92">
        <f>IF(C_631=TRUE,5,0)</f>
        <v>0</v>
      </c>
      <c r="G428" s="44"/>
      <c r="H428" s="44"/>
      <c r="I428" s="78"/>
      <c r="J428" s="118"/>
      <c r="K428" s="118"/>
      <c r="L428" s="118"/>
      <c r="M428" s="118"/>
      <c r="N428" s="118"/>
      <c r="O428" s="118"/>
      <c r="P428" s="118"/>
    </row>
    <row r="429" spans="4:16" hidden="1" x14ac:dyDescent="0.2">
      <c r="D429" s="93" t="s">
        <v>124</v>
      </c>
      <c r="E429" s="77" t="b">
        <v>0</v>
      </c>
      <c r="F429" s="94">
        <f>IF(C_632=TRUE,3,0)</f>
        <v>0</v>
      </c>
      <c r="G429" s="44"/>
      <c r="H429" s="44"/>
      <c r="I429" s="44"/>
      <c r="J429" s="118"/>
      <c r="K429" s="118"/>
      <c r="L429" s="118"/>
      <c r="M429" s="118"/>
      <c r="N429" s="118"/>
      <c r="O429" s="118"/>
      <c r="P429" s="118"/>
    </row>
    <row r="430" spans="4:16" hidden="1" x14ac:dyDescent="0.2">
      <c r="D430" s="93" t="s">
        <v>125</v>
      </c>
      <c r="E430" s="77" t="b">
        <v>0</v>
      </c>
      <c r="F430" s="94">
        <f>IF(C_633=TRUE,1,0)</f>
        <v>0</v>
      </c>
      <c r="G430" s="44"/>
      <c r="H430" s="44"/>
      <c r="I430" s="44"/>
      <c r="J430" s="118"/>
      <c r="K430" s="118"/>
      <c r="L430" s="118"/>
      <c r="M430" s="118"/>
      <c r="N430" s="118"/>
      <c r="O430" s="118"/>
      <c r="P430" s="118"/>
    </row>
    <row r="431" spans="4:16" hidden="1" x14ac:dyDescent="0.2">
      <c r="D431" s="95" t="s">
        <v>126</v>
      </c>
      <c r="E431" s="77" t="b">
        <v>0</v>
      </c>
      <c r="F431" s="94">
        <f>IF(C_634=TRUE,"N/A",0)</f>
        <v>0</v>
      </c>
      <c r="G431" s="44"/>
      <c r="H431" s="44"/>
      <c r="I431" s="44"/>
      <c r="J431" s="118"/>
      <c r="K431" s="118"/>
      <c r="L431" s="118"/>
      <c r="M431" s="118"/>
      <c r="N431" s="118"/>
      <c r="O431" s="118"/>
      <c r="P431" s="118"/>
    </row>
    <row r="432" spans="4:16" ht="15" hidden="1" x14ac:dyDescent="0.2">
      <c r="D432" s="102"/>
      <c r="E432" s="33" t="s">
        <v>127</v>
      </c>
      <c r="F432" s="97" t="str">
        <f>IF(COUNTIF(E428:E431,FALSE)=4,"No Rating Selected",IF(F431="N/A","N/A",SUM(F428:F430)))</f>
        <v>No Rating Selected</v>
      </c>
      <c r="G432" s="44"/>
      <c r="H432" s="44"/>
      <c r="I432" s="44"/>
      <c r="J432" s="118"/>
      <c r="K432" s="118"/>
      <c r="L432" s="118"/>
      <c r="M432" s="118"/>
      <c r="N432" s="118"/>
      <c r="O432" s="118"/>
      <c r="P432" s="118"/>
    </row>
    <row r="433" spans="4:16" ht="15" hidden="1" x14ac:dyDescent="0.2">
      <c r="D433" s="96"/>
      <c r="E433" s="33" t="s">
        <v>128</v>
      </c>
      <c r="F433" s="97">
        <f>IF(C_634=TRUE,0,5)</f>
        <v>5</v>
      </c>
      <c r="G433" s="44"/>
      <c r="H433" s="44"/>
      <c r="I433" s="44"/>
      <c r="J433" s="118"/>
      <c r="K433" s="118"/>
      <c r="L433" s="118"/>
      <c r="M433" s="118"/>
      <c r="N433" s="118"/>
      <c r="O433" s="118"/>
      <c r="P433" s="118"/>
    </row>
    <row r="434" spans="4:16" ht="15.75" hidden="1" thickBot="1" x14ac:dyDescent="0.25">
      <c r="D434" s="117"/>
      <c r="E434" s="42" t="s">
        <v>129</v>
      </c>
      <c r="F434" s="111" t="b">
        <f>IF(COUNTIF(E428:E431,TRUE)=1,TRUE,FALSE)</f>
        <v>0</v>
      </c>
      <c r="G434" s="44"/>
      <c r="H434" s="44"/>
      <c r="I434" s="44"/>
      <c r="J434" s="118"/>
      <c r="K434" s="118"/>
      <c r="L434" s="118"/>
      <c r="M434" s="118"/>
      <c r="N434" s="118"/>
      <c r="O434" s="118"/>
      <c r="P434" s="118"/>
    </row>
    <row r="435" spans="4:16" ht="15.75" hidden="1" thickTop="1" x14ac:dyDescent="0.2">
      <c r="D435" s="116"/>
      <c r="E435" s="106"/>
      <c r="F435" s="107"/>
      <c r="G435" s="44"/>
      <c r="H435" s="44"/>
      <c r="I435" s="44"/>
      <c r="J435" s="118"/>
      <c r="K435" s="118"/>
      <c r="L435" s="118"/>
      <c r="M435" s="118"/>
      <c r="N435" s="118"/>
      <c r="O435" s="118"/>
      <c r="P435" s="118"/>
    </row>
    <row r="436" spans="4:16" ht="15" hidden="1" x14ac:dyDescent="0.2">
      <c r="D436" s="108"/>
      <c r="E436" s="50" t="s">
        <v>132</v>
      </c>
      <c r="F436" s="109"/>
      <c r="G436" s="44"/>
      <c r="H436" s="44"/>
      <c r="I436" s="44"/>
      <c r="J436" s="118"/>
      <c r="K436" s="118"/>
      <c r="L436" s="118"/>
      <c r="M436" s="118"/>
      <c r="N436" s="118"/>
      <c r="O436" s="118"/>
      <c r="P436" s="118"/>
    </row>
    <row r="437" spans="4:16" hidden="1" x14ac:dyDescent="0.2">
      <c r="D437" s="91" t="s">
        <v>123</v>
      </c>
      <c r="E437" s="69" t="b">
        <v>0</v>
      </c>
      <c r="F437" s="92">
        <f>IF(C_641=TRUE,5,0)</f>
        <v>0</v>
      </c>
      <c r="G437" s="44"/>
      <c r="H437" s="44"/>
      <c r="I437" s="44"/>
      <c r="J437" s="118"/>
      <c r="K437" s="118"/>
      <c r="L437" s="118"/>
      <c r="M437" s="118"/>
      <c r="N437" s="118"/>
      <c r="O437" s="118"/>
      <c r="P437" s="118"/>
    </row>
    <row r="438" spans="4:16" hidden="1" x14ac:dyDescent="0.2">
      <c r="D438" s="93" t="s">
        <v>124</v>
      </c>
      <c r="E438" s="77" t="b">
        <v>0</v>
      </c>
      <c r="F438" s="94">
        <f>IF(C_642=TRUE,3,0)</f>
        <v>0</v>
      </c>
      <c r="G438" s="44"/>
      <c r="H438" s="44"/>
      <c r="I438" s="44"/>
      <c r="J438" s="118"/>
      <c r="K438" s="118"/>
      <c r="L438" s="118"/>
      <c r="M438" s="118"/>
      <c r="N438" s="118"/>
      <c r="O438" s="118"/>
      <c r="P438" s="118"/>
    </row>
    <row r="439" spans="4:16" hidden="1" x14ac:dyDescent="0.2">
      <c r="D439" s="93" t="s">
        <v>125</v>
      </c>
      <c r="E439" s="77" t="b">
        <v>0</v>
      </c>
      <c r="F439" s="94">
        <f>IF(C_643=TRUE,1,0)</f>
        <v>0</v>
      </c>
      <c r="G439" s="44"/>
      <c r="H439" s="44"/>
      <c r="I439" s="44"/>
      <c r="J439" s="118"/>
      <c r="K439" s="118"/>
      <c r="L439" s="118"/>
      <c r="M439" s="118"/>
      <c r="N439" s="118"/>
      <c r="O439" s="118"/>
      <c r="P439" s="118"/>
    </row>
    <row r="440" spans="4:16" hidden="1" x14ac:dyDescent="0.2">
      <c r="D440" s="95" t="s">
        <v>126</v>
      </c>
      <c r="E440" s="77" t="b">
        <v>0</v>
      </c>
      <c r="F440" s="94">
        <f>IF(C_644=TRUE,"N/A",0)</f>
        <v>0</v>
      </c>
      <c r="G440" s="44"/>
      <c r="H440" s="44"/>
      <c r="I440" s="44"/>
      <c r="J440" s="118"/>
      <c r="K440" s="118"/>
      <c r="L440" s="118"/>
      <c r="M440" s="118"/>
      <c r="N440" s="118"/>
      <c r="O440" s="118"/>
      <c r="P440" s="118"/>
    </row>
    <row r="441" spans="4:16" ht="15" hidden="1" x14ac:dyDescent="0.2">
      <c r="D441" s="102"/>
      <c r="E441" s="33" t="s">
        <v>127</v>
      </c>
      <c r="F441" s="97" t="str">
        <f>IF(COUNTIF(E437:E440,FALSE)=4,"No Rating Selected",IF(F440="N/A","N/A",SUM(F437:F439)))</f>
        <v>No Rating Selected</v>
      </c>
      <c r="G441" s="44"/>
      <c r="H441" s="44"/>
      <c r="I441" s="44"/>
      <c r="J441" s="118"/>
      <c r="K441" s="118"/>
      <c r="L441" s="118"/>
      <c r="M441" s="118"/>
      <c r="N441" s="118"/>
      <c r="O441" s="118"/>
      <c r="P441" s="118"/>
    </row>
    <row r="442" spans="4:16" ht="15" hidden="1" x14ac:dyDescent="0.2">
      <c r="D442" s="96"/>
      <c r="E442" s="33" t="s">
        <v>128</v>
      </c>
      <c r="F442" s="97">
        <f>IF(C_644=TRUE,0,5)</f>
        <v>5</v>
      </c>
      <c r="G442" s="44"/>
      <c r="H442" s="44"/>
      <c r="I442" s="44"/>
      <c r="J442" s="118"/>
      <c r="K442" s="118"/>
      <c r="L442" s="118"/>
      <c r="M442" s="118"/>
      <c r="N442" s="118"/>
      <c r="O442" s="118"/>
      <c r="P442" s="118"/>
    </row>
    <row r="443" spans="4:16" ht="15.75" hidden="1" thickBot="1" x14ac:dyDescent="0.25">
      <c r="D443" s="117"/>
      <c r="E443" s="42" t="s">
        <v>129</v>
      </c>
      <c r="F443" s="111" t="b">
        <f>IF(COUNTIF(E437:E440,TRUE)=1,TRUE,FALSE)</f>
        <v>0</v>
      </c>
      <c r="G443" s="44"/>
      <c r="H443" s="44"/>
      <c r="I443" s="44"/>
      <c r="J443" s="118"/>
      <c r="K443" s="118"/>
      <c r="L443" s="118"/>
      <c r="M443" s="118"/>
      <c r="N443" s="118"/>
      <c r="O443" s="118"/>
      <c r="P443" s="118"/>
    </row>
    <row r="444" spans="4:16" ht="15" hidden="1" thickTop="1" x14ac:dyDescent="0.2">
      <c r="D444" s="98"/>
      <c r="E444" s="44"/>
      <c r="F444" s="99"/>
      <c r="G444" s="44"/>
      <c r="H444" s="44"/>
      <c r="I444" s="44"/>
      <c r="J444" s="118"/>
      <c r="K444" s="118"/>
      <c r="L444" s="118"/>
      <c r="M444" s="118"/>
      <c r="N444" s="118"/>
      <c r="O444" s="118"/>
      <c r="P444" s="118"/>
    </row>
    <row r="445" spans="4:16" ht="15" hidden="1" x14ac:dyDescent="0.25">
      <c r="D445" s="197" t="s">
        <v>192</v>
      </c>
      <c r="E445" s="198"/>
      <c r="F445" s="97" t="str">
        <f>IF(COUNTIF(E410:E440,FALSE)=16,"Status: Not Yet Started",IF(COUNTIF(F410:F443,TRUE)=4,"Status: Completed","Status: Work in Progress"))</f>
        <v>Status: Not Yet Started</v>
      </c>
      <c r="G445" s="44"/>
      <c r="H445" s="44"/>
      <c r="I445" s="44"/>
      <c r="J445" s="118"/>
      <c r="K445" s="118"/>
      <c r="L445" s="118"/>
      <c r="M445" s="118"/>
      <c r="N445" s="118"/>
      <c r="O445" s="118"/>
      <c r="P445" s="118"/>
    </row>
    <row r="446" spans="4:16" ht="15.75" hidden="1" thickBot="1" x14ac:dyDescent="0.25">
      <c r="D446" s="261" t="s">
        <v>145</v>
      </c>
      <c r="E446" s="262"/>
      <c r="F446" s="114">
        <f>SUM(F415,F424,F433,F442)</f>
        <v>20</v>
      </c>
      <c r="G446" s="44"/>
      <c r="H446" s="44"/>
      <c r="I446" s="44"/>
      <c r="J446" s="118"/>
      <c r="K446" s="118"/>
      <c r="L446" s="118"/>
      <c r="M446" s="118"/>
      <c r="N446" s="118"/>
      <c r="O446" s="118"/>
      <c r="P446" s="118"/>
    </row>
    <row r="447" spans="4:16" hidden="1" x14ac:dyDescent="0.2">
      <c r="D447" s="44"/>
      <c r="E447" s="44"/>
      <c r="F447" s="44"/>
      <c r="G447" s="44"/>
      <c r="H447" s="44"/>
      <c r="I447" s="44"/>
      <c r="J447" s="118"/>
      <c r="K447" s="118"/>
      <c r="L447" s="118"/>
      <c r="M447" s="118"/>
      <c r="N447" s="118"/>
      <c r="O447" s="118"/>
      <c r="P447" s="118"/>
    </row>
    <row r="448" spans="4:16" ht="15" hidden="1" thickBot="1" x14ac:dyDescent="0.25">
      <c r="D448" s="44"/>
      <c r="E448" s="44"/>
      <c r="F448" s="44"/>
      <c r="G448" s="44"/>
      <c r="H448" s="44"/>
      <c r="I448" s="44"/>
      <c r="J448" s="118"/>
      <c r="K448" s="118"/>
      <c r="L448" s="118"/>
      <c r="M448" s="118"/>
      <c r="N448" s="118"/>
      <c r="O448" s="118"/>
      <c r="P448" s="118"/>
    </row>
    <row r="449" spans="4:16" ht="15.75" hidden="1" thickBot="1" x14ac:dyDescent="0.3">
      <c r="D449" s="255" t="s">
        <v>193</v>
      </c>
      <c r="E449" s="256"/>
      <c r="F449" s="257"/>
      <c r="G449" s="44"/>
      <c r="H449" s="44"/>
      <c r="I449" s="44"/>
      <c r="J449" s="118"/>
      <c r="K449" s="118"/>
      <c r="L449" s="118"/>
      <c r="M449" s="118"/>
      <c r="N449" s="118"/>
      <c r="O449" s="118"/>
      <c r="P449" s="118"/>
    </row>
    <row r="450" spans="4:16" hidden="1" x14ac:dyDescent="0.2">
      <c r="D450" s="89"/>
      <c r="E450" s="88" t="s">
        <v>122</v>
      </c>
      <c r="F450" s="90"/>
      <c r="G450" s="44"/>
      <c r="H450" s="44"/>
      <c r="I450" s="44"/>
      <c r="J450" s="118"/>
      <c r="K450" s="118"/>
      <c r="L450" s="118"/>
      <c r="M450" s="118"/>
      <c r="N450" s="118"/>
      <c r="O450" s="118"/>
      <c r="P450" s="118"/>
    </row>
    <row r="451" spans="4:16" hidden="1" x14ac:dyDescent="0.2">
      <c r="D451" s="93" t="s">
        <v>194</v>
      </c>
      <c r="E451" s="70" t="b">
        <v>0</v>
      </c>
      <c r="F451" s="94">
        <f>IF(C_711=TRUE,3,0)</f>
        <v>0</v>
      </c>
      <c r="G451" s="44"/>
      <c r="H451" s="44"/>
      <c r="I451" s="44"/>
      <c r="J451" s="118"/>
      <c r="K451" s="118"/>
      <c r="L451" s="118"/>
      <c r="M451" s="118"/>
      <c r="N451" s="118"/>
      <c r="O451" s="118"/>
      <c r="P451" s="118"/>
    </row>
    <row r="452" spans="4:16" hidden="1" x14ac:dyDescent="0.2">
      <c r="D452" s="93" t="s">
        <v>195</v>
      </c>
      <c r="E452" s="70" t="b">
        <v>0</v>
      </c>
      <c r="F452" s="94">
        <f>IF(C_712=TRUE,1,0)</f>
        <v>0</v>
      </c>
      <c r="G452" s="44"/>
      <c r="H452" s="44"/>
      <c r="I452" s="44"/>
      <c r="J452" s="118"/>
      <c r="K452" s="118"/>
      <c r="L452" s="118"/>
      <c r="M452" s="118"/>
      <c r="N452" s="118"/>
      <c r="O452" s="118"/>
      <c r="P452" s="118"/>
    </row>
    <row r="453" spans="4:16" ht="15" hidden="1" x14ac:dyDescent="0.2">
      <c r="D453" s="96"/>
      <c r="E453" s="33" t="s">
        <v>127</v>
      </c>
      <c r="F453" s="97" t="str">
        <f>IF(C_711=TRUE,"Pass",IF(C_712=TRUE,"Fail","No Rating Selected"))</f>
        <v>No Rating Selected</v>
      </c>
      <c r="G453" s="44"/>
      <c r="H453" s="44"/>
      <c r="I453" s="44"/>
      <c r="J453" s="118"/>
      <c r="K453" s="118"/>
      <c r="L453" s="118"/>
      <c r="M453" s="118"/>
      <c r="N453" s="118"/>
      <c r="O453" s="118"/>
      <c r="P453" s="118"/>
    </row>
    <row r="454" spans="4:16" hidden="1" x14ac:dyDescent="0.2">
      <c r="D454" s="98"/>
      <c r="E454" s="44"/>
      <c r="F454" s="99"/>
      <c r="G454" s="44"/>
      <c r="H454" s="44"/>
      <c r="I454" s="44"/>
      <c r="J454" s="118"/>
      <c r="K454" s="118"/>
      <c r="L454" s="118"/>
      <c r="M454" s="118"/>
      <c r="N454" s="118"/>
      <c r="O454" s="118"/>
      <c r="P454" s="118"/>
    </row>
    <row r="455" spans="4:16" ht="15.75" hidden="1" thickBot="1" x14ac:dyDescent="0.3">
      <c r="D455" s="258" t="s">
        <v>196</v>
      </c>
      <c r="E455" s="259"/>
      <c r="F455" s="114" t="str">
        <f>IF(COUNTIF(E451:E452,FALSE)=2,"Status: Not Yet Started",IF(COUNTIF(E451:E452,TRUE)=1,"Status: Completed","Status: Work in Progress"))</f>
        <v>Status: Not Yet Started</v>
      </c>
      <c r="G455" s="44"/>
      <c r="H455" s="44"/>
      <c r="I455" s="44"/>
      <c r="J455" s="118"/>
      <c r="K455" s="118"/>
      <c r="L455" s="118"/>
      <c r="M455" s="118"/>
      <c r="N455" s="118"/>
      <c r="O455" s="118"/>
      <c r="P455" s="118"/>
    </row>
    <row r="456" spans="4:16" hidden="1" x14ac:dyDescent="0.2">
      <c r="D456" s="44"/>
      <c r="E456" s="44"/>
      <c r="F456" s="72"/>
      <c r="G456" s="44"/>
      <c r="H456" s="44"/>
      <c r="I456" s="44"/>
      <c r="J456" s="118"/>
      <c r="K456" s="118"/>
      <c r="L456" s="118"/>
      <c r="M456" s="118"/>
      <c r="N456" s="118"/>
      <c r="O456" s="118"/>
      <c r="P456" s="118"/>
    </row>
    <row r="457" spans="4:16" x14ac:dyDescent="0.2">
      <c r="D457" s="44"/>
      <c r="E457" s="44"/>
      <c r="F457" s="72"/>
      <c r="G457" s="44"/>
      <c r="H457" s="44"/>
      <c r="I457" s="44"/>
      <c r="J457" s="118"/>
      <c r="K457" s="118"/>
      <c r="L457" s="118"/>
      <c r="M457" s="118"/>
      <c r="N457" s="118"/>
      <c r="O457" s="118"/>
      <c r="P457" s="118"/>
    </row>
    <row r="458" spans="4:16" x14ac:dyDescent="0.2">
      <c r="D458" s="44"/>
      <c r="E458" s="44"/>
      <c r="F458" s="72"/>
      <c r="G458" s="44"/>
      <c r="H458" s="44"/>
      <c r="I458" s="44"/>
      <c r="J458" s="118"/>
      <c r="K458" s="118"/>
      <c r="L458" s="118"/>
      <c r="M458" s="118"/>
      <c r="N458" s="118"/>
      <c r="O458" s="118"/>
      <c r="P458" s="118"/>
    </row>
    <row r="459" spans="4:16" x14ac:dyDescent="0.2">
      <c r="D459" s="44"/>
      <c r="E459" s="44"/>
      <c r="F459" s="72"/>
      <c r="G459" s="44"/>
      <c r="H459" s="44"/>
      <c r="I459" s="44"/>
      <c r="J459" s="118"/>
      <c r="K459" s="118"/>
      <c r="L459" s="118"/>
      <c r="M459" s="118"/>
      <c r="N459" s="118"/>
      <c r="O459" s="118"/>
      <c r="P459" s="118"/>
    </row>
    <row r="460" spans="4:16" x14ac:dyDescent="0.2">
      <c r="D460" s="44"/>
      <c r="E460" s="44"/>
      <c r="F460" s="72"/>
      <c r="G460" s="44"/>
      <c r="H460" s="44"/>
      <c r="I460" s="44"/>
      <c r="J460" s="118"/>
      <c r="K460" s="118"/>
      <c r="L460" s="118"/>
      <c r="M460" s="118"/>
      <c r="N460" s="118"/>
      <c r="O460" s="118"/>
      <c r="P460" s="118"/>
    </row>
    <row r="461" spans="4:16" x14ac:dyDescent="0.2">
      <c r="D461" s="44"/>
      <c r="E461" s="44"/>
      <c r="F461" s="72"/>
      <c r="G461" s="44"/>
      <c r="H461" s="44"/>
      <c r="I461" s="44"/>
      <c r="J461" s="118"/>
      <c r="K461" s="118"/>
      <c r="L461" s="118"/>
      <c r="M461" s="118"/>
      <c r="N461" s="118"/>
      <c r="O461" s="118"/>
      <c r="P461" s="118"/>
    </row>
    <row r="462" spans="4:16" x14ac:dyDescent="0.2">
      <c r="D462" s="44"/>
      <c r="E462" s="44"/>
      <c r="F462" s="72"/>
      <c r="G462" s="44"/>
      <c r="H462" s="44"/>
      <c r="I462" s="44"/>
      <c r="J462" s="118"/>
      <c r="K462" s="118"/>
      <c r="L462" s="118"/>
      <c r="M462" s="118"/>
      <c r="N462" s="118"/>
      <c r="O462" s="118"/>
      <c r="P462" s="118"/>
    </row>
    <row r="463" spans="4:16" x14ac:dyDescent="0.2">
      <c r="D463" s="44"/>
      <c r="E463" s="44"/>
      <c r="F463" s="72"/>
      <c r="G463" s="44"/>
      <c r="H463" s="44"/>
      <c r="I463" s="44"/>
      <c r="J463" s="118"/>
      <c r="K463" s="118"/>
      <c r="L463" s="118"/>
      <c r="M463" s="118"/>
      <c r="N463" s="118"/>
      <c r="O463" s="118"/>
      <c r="P463" s="118"/>
    </row>
    <row r="464" spans="4:16" x14ac:dyDescent="0.2">
      <c r="D464" s="44"/>
      <c r="E464" s="44"/>
      <c r="F464" s="72"/>
      <c r="G464" s="44"/>
      <c r="H464" s="44"/>
      <c r="I464" s="44"/>
      <c r="J464" s="118"/>
      <c r="K464" s="118"/>
      <c r="L464" s="118"/>
      <c r="M464" s="118"/>
      <c r="N464" s="118"/>
      <c r="O464" s="118"/>
      <c r="P464" s="118"/>
    </row>
    <row r="465" spans="9:16" x14ac:dyDescent="0.2">
      <c r="I465" s="44"/>
      <c r="J465" s="118"/>
      <c r="K465" s="118"/>
      <c r="L465" s="118"/>
      <c r="M465" s="118"/>
      <c r="N465" s="118"/>
      <c r="O465" s="118"/>
      <c r="P465" s="118"/>
    </row>
    <row r="466" spans="9:16" x14ac:dyDescent="0.2">
      <c r="I466" s="44"/>
      <c r="J466" s="118"/>
      <c r="K466" s="118"/>
      <c r="L466" s="118"/>
      <c r="M466" s="118"/>
      <c r="N466" s="118"/>
      <c r="O466" s="118"/>
      <c r="P466" s="118"/>
    </row>
    <row r="467" spans="9:16" x14ac:dyDescent="0.2">
      <c r="I467" s="44"/>
      <c r="J467" s="118"/>
      <c r="K467" s="118"/>
      <c r="L467" s="118"/>
      <c r="M467" s="118"/>
      <c r="N467" s="118"/>
      <c r="O467" s="118"/>
      <c r="P467" s="118"/>
    </row>
    <row r="468" spans="9:16" x14ac:dyDescent="0.2">
      <c r="I468" s="44"/>
      <c r="J468" s="118"/>
      <c r="K468" s="118"/>
      <c r="L468" s="118"/>
      <c r="M468" s="118"/>
      <c r="N468" s="118"/>
      <c r="O468" s="118"/>
      <c r="P468" s="118"/>
    </row>
    <row r="469" spans="9:16" x14ac:dyDescent="0.2">
      <c r="I469" s="44"/>
      <c r="J469" s="118"/>
      <c r="K469" s="118"/>
      <c r="L469" s="118"/>
      <c r="M469" s="118"/>
      <c r="N469" s="118"/>
      <c r="O469" s="118"/>
      <c r="P469" s="118"/>
    </row>
    <row r="470" spans="9:16" x14ac:dyDescent="0.2">
      <c r="I470" s="44"/>
      <c r="J470" s="118"/>
      <c r="K470" s="118"/>
      <c r="L470" s="118"/>
      <c r="M470" s="118"/>
      <c r="N470" s="118"/>
      <c r="O470" s="118"/>
      <c r="P470" s="118"/>
    </row>
    <row r="471" spans="9:16" x14ac:dyDescent="0.2">
      <c r="I471" s="44"/>
      <c r="J471" s="118"/>
      <c r="K471" s="118"/>
      <c r="L471" s="118"/>
      <c r="M471" s="118"/>
      <c r="N471" s="118"/>
      <c r="O471" s="118"/>
      <c r="P471" s="118"/>
    </row>
    <row r="472" spans="9:16" x14ac:dyDescent="0.2">
      <c r="I472" s="44"/>
      <c r="J472" s="118"/>
      <c r="K472" s="118"/>
      <c r="L472" s="118"/>
      <c r="M472" s="118"/>
      <c r="N472" s="118"/>
      <c r="O472" s="118"/>
      <c r="P472" s="118"/>
    </row>
    <row r="473" spans="9:16" x14ac:dyDescent="0.2">
      <c r="I473" s="44"/>
      <c r="J473" s="118"/>
      <c r="K473" s="118"/>
      <c r="L473" s="118"/>
      <c r="M473" s="118"/>
      <c r="N473" s="118"/>
      <c r="O473" s="118"/>
      <c r="P473" s="118"/>
    </row>
    <row r="474" spans="9:16" x14ac:dyDescent="0.2">
      <c r="I474" s="44"/>
      <c r="J474" s="118"/>
      <c r="K474" s="118"/>
      <c r="L474" s="118"/>
      <c r="M474" s="118"/>
      <c r="N474" s="118"/>
      <c r="O474" s="118"/>
      <c r="P474" s="118"/>
    </row>
    <row r="475" spans="9:16" x14ac:dyDescent="0.2">
      <c r="I475" s="44"/>
      <c r="J475" s="118"/>
      <c r="K475" s="118"/>
      <c r="L475" s="118"/>
      <c r="M475" s="118"/>
      <c r="N475" s="118"/>
      <c r="O475" s="118"/>
      <c r="P475" s="118"/>
    </row>
    <row r="476" spans="9:16" x14ac:dyDescent="0.2">
      <c r="I476" s="44"/>
      <c r="J476" s="118"/>
      <c r="K476" s="118"/>
      <c r="L476" s="118"/>
      <c r="M476" s="118"/>
      <c r="N476" s="118"/>
      <c r="O476" s="118"/>
      <c r="P476" s="118"/>
    </row>
    <row r="477" spans="9:16" x14ac:dyDescent="0.2">
      <c r="I477" s="44"/>
      <c r="J477" s="118"/>
      <c r="K477" s="118"/>
      <c r="L477" s="118"/>
      <c r="M477" s="118"/>
      <c r="N477" s="118"/>
      <c r="O477" s="118"/>
      <c r="P477" s="118"/>
    </row>
    <row r="478" spans="9:16" x14ac:dyDescent="0.2">
      <c r="I478" s="44"/>
      <c r="J478" s="118"/>
      <c r="K478" s="118"/>
      <c r="L478" s="118"/>
      <c r="M478" s="118"/>
      <c r="N478" s="118"/>
      <c r="O478" s="118"/>
      <c r="P478" s="118"/>
    </row>
    <row r="479" spans="9:16" x14ac:dyDescent="0.2">
      <c r="I479" s="44"/>
      <c r="J479" s="118"/>
      <c r="K479" s="118"/>
      <c r="L479" s="118"/>
      <c r="M479" s="118"/>
      <c r="N479" s="118"/>
      <c r="O479" s="118"/>
      <c r="P479" s="118"/>
    </row>
    <row r="480" spans="9:16" x14ac:dyDescent="0.2">
      <c r="I480" s="44"/>
      <c r="J480" s="118"/>
      <c r="K480" s="118"/>
      <c r="L480" s="118"/>
      <c r="M480" s="118"/>
      <c r="N480" s="118"/>
      <c r="O480" s="118"/>
      <c r="P480" s="118"/>
    </row>
    <row r="481" spans="9:16" x14ac:dyDescent="0.2">
      <c r="I481" s="44"/>
      <c r="J481" s="118"/>
      <c r="K481" s="118"/>
      <c r="L481" s="118"/>
      <c r="M481" s="118"/>
      <c r="N481" s="118"/>
      <c r="O481" s="118"/>
      <c r="P481" s="118"/>
    </row>
    <row r="482" spans="9:16" x14ac:dyDescent="0.2">
      <c r="I482" s="44"/>
      <c r="J482" s="118"/>
      <c r="K482" s="118"/>
      <c r="L482" s="118"/>
      <c r="M482" s="118"/>
      <c r="N482" s="118"/>
      <c r="O482" s="118"/>
      <c r="P482" s="118"/>
    </row>
    <row r="483" spans="9:16" x14ac:dyDescent="0.2">
      <c r="I483" s="44"/>
      <c r="J483" s="118"/>
      <c r="K483" s="118"/>
      <c r="L483" s="118"/>
      <c r="M483" s="118"/>
      <c r="N483" s="118"/>
      <c r="O483" s="118"/>
      <c r="P483" s="118"/>
    </row>
    <row r="484" spans="9:16" x14ac:dyDescent="0.2">
      <c r="I484" s="44"/>
      <c r="J484" s="118"/>
      <c r="K484" s="118"/>
      <c r="L484" s="118"/>
      <c r="M484" s="118"/>
      <c r="N484" s="118"/>
      <c r="O484" s="118"/>
      <c r="P484" s="118"/>
    </row>
    <row r="485" spans="9:16" x14ac:dyDescent="0.2">
      <c r="I485" s="44"/>
      <c r="J485" s="118"/>
      <c r="K485" s="118"/>
      <c r="L485" s="118"/>
      <c r="M485" s="118"/>
      <c r="N485" s="118"/>
      <c r="O485" s="118"/>
      <c r="P485" s="118"/>
    </row>
    <row r="486" spans="9:16" x14ac:dyDescent="0.2">
      <c r="I486" s="44"/>
      <c r="J486" s="118"/>
      <c r="K486" s="118"/>
      <c r="L486" s="118"/>
      <c r="M486" s="118"/>
      <c r="N486" s="118"/>
      <c r="O486" s="118"/>
      <c r="P486" s="118"/>
    </row>
    <row r="487" spans="9:16" x14ac:dyDescent="0.2">
      <c r="I487" s="44"/>
      <c r="J487" s="118"/>
      <c r="K487" s="118"/>
      <c r="L487" s="118"/>
      <c r="M487" s="118"/>
      <c r="N487" s="118"/>
      <c r="O487" s="118"/>
      <c r="P487" s="118"/>
    </row>
    <row r="488" spans="9:16" x14ac:dyDescent="0.2">
      <c r="I488" s="44"/>
      <c r="J488" s="118"/>
      <c r="K488" s="118"/>
      <c r="L488" s="118"/>
      <c r="M488" s="118"/>
      <c r="N488" s="118"/>
      <c r="O488" s="118"/>
      <c r="P488" s="118"/>
    </row>
    <row r="489" spans="9:16" x14ac:dyDescent="0.2">
      <c r="I489" s="44"/>
      <c r="J489" s="118"/>
      <c r="K489" s="118"/>
      <c r="L489" s="118"/>
      <c r="M489" s="118"/>
      <c r="N489" s="118"/>
      <c r="O489" s="118"/>
      <c r="P489" s="118"/>
    </row>
    <row r="490" spans="9:16" x14ac:dyDescent="0.2">
      <c r="I490" s="44"/>
      <c r="J490" s="118"/>
      <c r="K490" s="118"/>
      <c r="L490" s="118"/>
      <c r="M490" s="118"/>
      <c r="N490" s="118"/>
      <c r="O490" s="118"/>
      <c r="P490" s="118"/>
    </row>
    <row r="491" spans="9:16" x14ac:dyDescent="0.2">
      <c r="I491" s="44"/>
      <c r="J491" s="118"/>
      <c r="K491" s="118"/>
      <c r="L491" s="118"/>
      <c r="M491" s="118"/>
      <c r="N491" s="118"/>
      <c r="O491" s="118"/>
      <c r="P491" s="118"/>
    </row>
    <row r="492" spans="9:16" x14ac:dyDescent="0.2">
      <c r="I492" s="44"/>
      <c r="J492" s="118"/>
      <c r="K492" s="118"/>
      <c r="L492" s="118"/>
      <c r="M492" s="118"/>
      <c r="N492" s="118"/>
      <c r="O492" s="118"/>
      <c r="P492" s="118"/>
    </row>
    <row r="493" spans="9:16" x14ac:dyDescent="0.2">
      <c r="I493" s="44"/>
      <c r="J493" s="118"/>
      <c r="K493" s="118"/>
      <c r="L493" s="118"/>
      <c r="M493" s="118"/>
      <c r="N493" s="118"/>
      <c r="O493" s="118"/>
      <c r="P493" s="118"/>
    </row>
    <row r="494" spans="9:16" x14ac:dyDescent="0.2">
      <c r="I494" s="44"/>
      <c r="J494" s="118"/>
      <c r="K494" s="118"/>
      <c r="L494" s="118"/>
      <c r="M494" s="118"/>
      <c r="N494" s="118"/>
      <c r="O494" s="118"/>
      <c r="P494" s="118"/>
    </row>
    <row r="495" spans="9:16" x14ac:dyDescent="0.2">
      <c r="I495" s="44"/>
      <c r="J495" s="118"/>
      <c r="K495" s="118"/>
      <c r="L495" s="118"/>
      <c r="M495" s="118"/>
      <c r="N495" s="118"/>
      <c r="O495" s="118"/>
      <c r="P495" s="118"/>
    </row>
    <row r="496" spans="9:16" x14ac:dyDescent="0.2">
      <c r="I496" s="44"/>
      <c r="J496" s="118"/>
      <c r="K496" s="118"/>
      <c r="L496" s="118"/>
      <c r="M496" s="118"/>
      <c r="N496" s="118"/>
      <c r="O496" s="118"/>
      <c r="P496" s="118"/>
    </row>
    <row r="497" spans="9:16" x14ac:dyDescent="0.2">
      <c r="I497" s="44"/>
      <c r="J497" s="118"/>
      <c r="K497" s="118"/>
      <c r="L497" s="118"/>
      <c r="M497" s="118"/>
      <c r="N497" s="118"/>
      <c r="O497" s="118"/>
      <c r="P497" s="118"/>
    </row>
    <row r="498" spans="9:16" x14ac:dyDescent="0.2">
      <c r="I498" s="44"/>
      <c r="J498" s="118"/>
      <c r="K498" s="118"/>
      <c r="L498" s="118"/>
      <c r="M498" s="118"/>
      <c r="N498" s="118"/>
      <c r="O498" s="118"/>
      <c r="P498" s="118"/>
    </row>
    <row r="499" spans="9:16" x14ac:dyDescent="0.2">
      <c r="I499" s="44"/>
      <c r="J499" s="118"/>
      <c r="K499" s="118"/>
      <c r="L499" s="118"/>
      <c r="M499" s="118"/>
      <c r="N499" s="118"/>
      <c r="O499" s="118"/>
      <c r="P499" s="118"/>
    </row>
    <row r="500" spans="9:16" x14ac:dyDescent="0.2">
      <c r="I500" s="44"/>
      <c r="J500" s="118"/>
      <c r="K500" s="118"/>
      <c r="L500" s="118"/>
      <c r="M500" s="118"/>
      <c r="N500" s="118"/>
      <c r="O500" s="118"/>
      <c r="P500" s="118"/>
    </row>
    <row r="501" spans="9:16" x14ac:dyDescent="0.2">
      <c r="I501" s="44"/>
      <c r="J501" s="118"/>
      <c r="K501" s="118"/>
      <c r="L501" s="118"/>
      <c r="M501" s="118"/>
      <c r="N501" s="118"/>
      <c r="O501" s="118"/>
      <c r="P501" s="118"/>
    </row>
    <row r="502" spans="9:16" x14ac:dyDescent="0.2">
      <c r="I502" s="44"/>
      <c r="J502" s="118"/>
      <c r="K502" s="118"/>
      <c r="L502" s="118"/>
      <c r="M502" s="118"/>
      <c r="N502" s="118"/>
      <c r="O502" s="118"/>
      <c r="P502" s="118"/>
    </row>
    <row r="503" spans="9:16" x14ac:dyDescent="0.2">
      <c r="I503" s="44"/>
      <c r="J503" s="118"/>
      <c r="K503" s="118"/>
      <c r="L503" s="118"/>
      <c r="M503" s="118"/>
      <c r="N503" s="118"/>
      <c r="O503" s="118"/>
      <c r="P503" s="118"/>
    </row>
    <row r="504" spans="9:16" x14ac:dyDescent="0.2">
      <c r="I504" s="44"/>
      <c r="J504" s="118"/>
      <c r="K504" s="118"/>
      <c r="L504" s="118"/>
      <c r="M504" s="118"/>
      <c r="N504" s="118"/>
      <c r="O504" s="118"/>
      <c r="P504" s="118"/>
    </row>
    <row r="505" spans="9:16" x14ac:dyDescent="0.2">
      <c r="I505" s="44"/>
      <c r="J505" s="118"/>
      <c r="K505" s="118"/>
      <c r="L505" s="118"/>
      <c r="M505" s="118"/>
      <c r="N505" s="118"/>
      <c r="O505" s="118"/>
      <c r="P505" s="118"/>
    </row>
    <row r="506" spans="9:16" x14ac:dyDescent="0.2">
      <c r="I506" s="44"/>
      <c r="J506" s="118"/>
      <c r="K506" s="118"/>
      <c r="L506" s="118"/>
      <c r="M506" s="118"/>
      <c r="N506" s="118"/>
      <c r="O506" s="118"/>
      <c r="P506" s="118"/>
    </row>
    <row r="507" spans="9:16" x14ac:dyDescent="0.2">
      <c r="I507" s="44"/>
      <c r="J507" s="118"/>
      <c r="K507" s="118"/>
      <c r="L507" s="118"/>
      <c r="M507" s="118"/>
      <c r="N507" s="118"/>
      <c r="O507" s="118"/>
      <c r="P507" s="118"/>
    </row>
    <row r="508" spans="9:16" x14ac:dyDescent="0.2">
      <c r="I508" s="44"/>
      <c r="J508" s="118"/>
      <c r="K508" s="118"/>
      <c r="L508" s="118"/>
      <c r="M508" s="118"/>
      <c r="N508" s="118"/>
      <c r="O508" s="118"/>
      <c r="P508" s="118"/>
    </row>
    <row r="509" spans="9:16" x14ac:dyDescent="0.2">
      <c r="I509" s="44"/>
      <c r="J509" s="118"/>
      <c r="K509" s="118"/>
      <c r="L509" s="118"/>
      <c r="M509" s="118"/>
      <c r="N509" s="118"/>
      <c r="O509" s="118"/>
      <c r="P509" s="118"/>
    </row>
    <row r="510" spans="9:16" x14ac:dyDescent="0.2">
      <c r="I510" s="44"/>
      <c r="J510" s="118"/>
      <c r="K510" s="118"/>
      <c r="L510" s="118"/>
      <c r="M510" s="118"/>
      <c r="N510" s="118"/>
      <c r="O510" s="118"/>
      <c r="P510" s="118"/>
    </row>
    <row r="511" spans="9:16" x14ac:dyDescent="0.2">
      <c r="I511" s="44"/>
      <c r="J511" s="118"/>
      <c r="K511" s="118"/>
      <c r="L511" s="118"/>
      <c r="M511" s="118"/>
      <c r="N511" s="118"/>
      <c r="O511" s="118"/>
      <c r="P511" s="118"/>
    </row>
    <row r="512" spans="9:16" x14ac:dyDescent="0.2">
      <c r="I512" s="44"/>
      <c r="J512" s="118"/>
      <c r="K512" s="118"/>
      <c r="L512" s="118"/>
      <c r="M512" s="118"/>
      <c r="N512" s="118"/>
      <c r="O512" s="118"/>
      <c r="P512" s="118"/>
    </row>
    <row r="513" spans="9:16" x14ac:dyDescent="0.2">
      <c r="I513" s="44"/>
      <c r="J513" s="118"/>
      <c r="K513" s="118"/>
      <c r="L513" s="118"/>
      <c r="M513" s="118"/>
      <c r="N513" s="118"/>
      <c r="O513" s="118"/>
      <c r="P513" s="118"/>
    </row>
    <row r="514" spans="9:16" x14ac:dyDescent="0.2">
      <c r="I514" s="44"/>
      <c r="J514" s="118"/>
      <c r="K514" s="118"/>
      <c r="L514" s="118"/>
      <c r="M514" s="118"/>
      <c r="N514" s="118"/>
      <c r="O514" s="118"/>
      <c r="P514" s="118"/>
    </row>
    <row r="515" spans="9:16" x14ac:dyDescent="0.2">
      <c r="I515" s="44"/>
      <c r="J515" s="118"/>
      <c r="K515" s="118"/>
      <c r="L515" s="118"/>
      <c r="M515" s="118"/>
      <c r="N515" s="118"/>
      <c r="O515" s="118"/>
      <c r="P515" s="118"/>
    </row>
    <row r="516" spans="9:16" x14ac:dyDescent="0.2">
      <c r="I516" s="44"/>
      <c r="J516" s="118"/>
      <c r="K516" s="118"/>
      <c r="L516" s="118"/>
      <c r="M516" s="118"/>
      <c r="N516" s="118"/>
      <c r="O516" s="118"/>
      <c r="P516" s="118"/>
    </row>
    <row r="517" spans="9:16" x14ac:dyDescent="0.2">
      <c r="I517" s="44"/>
      <c r="J517" s="118"/>
      <c r="K517" s="118"/>
      <c r="L517" s="118"/>
      <c r="M517" s="118"/>
      <c r="N517" s="118"/>
      <c r="O517" s="118"/>
      <c r="P517" s="118"/>
    </row>
    <row r="518" spans="9:16" x14ac:dyDescent="0.2">
      <c r="I518" s="44"/>
      <c r="J518" s="118"/>
      <c r="K518" s="118"/>
      <c r="L518" s="118"/>
      <c r="M518" s="118"/>
      <c r="N518" s="118"/>
      <c r="O518" s="118"/>
      <c r="P518" s="118"/>
    </row>
    <row r="519" spans="9:16" x14ac:dyDescent="0.2">
      <c r="I519" s="44"/>
      <c r="J519" s="118"/>
      <c r="K519" s="118"/>
      <c r="L519" s="118"/>
      <c r="M519" s="118"/>
      <c r="N519" s="118"/>
      <c r="O519" s="118"/>
      <c r="P519" s="118"/>
    </row>
    <row r="520" spans="9:16" x14ac:dyDescent="0.2">
      <c r="I520" s="44"/>
      <c r="J520" s="118"/>
      <c r="K520" s="118"/>
      <c r="L520" s="118"/>
      <c r="M520" s="118"/>
      <c r="N520" s="118"/>
      <c r="O520" s="118"/>
      <c r="P520" s="118"/>
    </row>
    <row r="521" spans="9:16" x14ac:dyDescent="0.2">
      <c r="I521" s="44"/>
      <c r="J521" s="118"/>
      <c r="K521" s="118"/>
      <c r="L521" s="118"/>
      <c r="M521" s="118"/>
      <c r="N521" s="118"/>
      <c r="O521" s="118"/>
      <c r="P521" s="118"/>
    </row>
    <row r="522" spans="9:16" x14ac:dyDescent="0.2">
      <c r="I522" s="44"/>
      <c r="J522" s="118"/>
      <c r="K522" s="118"/>
      <c r="L522" s="118"/>
      <c r="M522" s="118"/>
      <c r="N522" s="118"/>
      <c r="O522" s="118"/>
      <c r="P522" s="118"/>
    </row>
    <row r="523" spans="9:16" x14ac:dyDescent="0.2">
      <c r="I523" s="44"/>
      <c r="J523" s="118"/>
      <c r="K523" s="118"/>
      <c r="L523" s="118"/>
      <c r="M523" s="118"/>
      <c r="N523" s="118"/>
      <c r="O523" s="118"/>
      <c r="P523" s="118"/>
    </row>
    <row r="524" spans="9:16" x14ac:dyDescent="0.2">
      <c r="I524" s="44"/>
      <c r="J524" s="118"/>
      <c r="K524" s="118"/>
      <c r="L524" s="118"/>
      <c r="M524" s="118"/>
      <c r="N524" s="118"/>
      <c r="O524" s="118"/>
      <c r="P524" s="118"/>
    </row>
    <row r="525" spans="9:16" x14ac:dyDescent="0.2">
      <c r="I525" s="44"/>
      <c r="J525" s="118"/>
      <c r="K525" s="118"/>
      <c r="L525" s="118"/>
      <c r="M525" s="118"/>
      <c r="N525" s="118"/>
      <c r="O525" s="118"/>
      <c r="P525" s="118"/>
    </row>
    <row r="526" spans="9:16" x14ac:dyDescent="0.2">
      <c r="I526" s="44"/>
      <c r="J526" s="118"/>
      <c r="K526" s="118"/>
      <c r="L526" s="118"/>
      <c r="M526" s="118"/>
      <c r="N526" s="118"/>
      <c r="O526" s="118"/>
      <c r="P526" s="118"/>
    </row>
    <row r="527" spans="9:16" x14ac:dyDescent="0.2">
      <c r="I527" s="44"/>
      <c r="J527" s="118"/>
      <c r="K527" s="118"/>
      <c r="L527" s="118"/>
      <c r="M527" s="118"/>
      <c r="N527" s="118"/>
      <c r="O527" s="118"/>
      <c r="P527" s="118"/>
    </row>
    <row r="528" spans="9:16" x14ac:dyDescent="0.2">
      <c r="I528" s="44"/>
      <c r="J528" s="118"/>
      <c r="K528" s="118"/>
      <c r="L528" s="118"/>
      <c r="M528" s="118"/>
      <c r="N528" s="118"/>
      <c r="O528" s="118"/>
      <c r="P528" s="118"/>
    </row>
    <row r="529" spans="9:16" x14ac:dyDescent="0.2">
      <c r="I529" s="44"/>
      <c r="J529" s="118"/>
      <c r="K529" s="118"/>
      <c r="L529" s="118"/>
      <c r="M529" s="118"/>
      <c r="N529" s="118"/>
      <c r="O529" s="118"/>
      <c r="P529" s="118"/>
    </row>
    <row r="530" spans="9:16" x14ac:dyDescent="0.2">
      <c r="I530" s="44"/>
      <c r="J530" s="118"/>
      <c r="K530" s="118"/>
      <c r="L530" s="118"/>
      <c r="M530" s="118"/>
      <c r="N530" s="118"/>
      <c r="O530" s="118"/>
      <c r="P530" s="118"/>
    </row>
    <row r="531" spans="9:16" x14ac:dyDescent="0.2">
      <c r="I531" s="44"/>
      <c r="J531" s="118"/>
      <c r="K531" s="118"/>
      <c r="L531" s="118"/>
      <c r="M531" s="118"/>
      <c r="N531" s="118"/>
      <c r="O531" s="118"/>
      <c r="P531" s="118"/>
    </row>
    <row r="532" spans="9:16" x14ac:dyDescent="0.2">
      <c r="I532" s="44"/>
      <c r="J532" s="118"/>
      <c r="K532" s="118"/>
      <c r="L532" s="118"/>
      <c r="M532" s="118"/>
      <c r="N532" s="118"/>
      <c r="O532" s="118"/>
      <c r="P532" s="118"/>
    </row>
    <row r="533" spans="9:16" x14ac:dyDescent="0.2">
      <c r="I533" s="44"/>
      <c r="J533" s="118"/>
      <c r="K533" s="118"/>
      <c r="L533" s="118"/>
      <c r="M533" s="118"/>
      <c r="N533" s="118"/>
      <c r="O533" s="118"/>
      <c r="P533" s="118"/>
    </row>
    <row r="534" spans="9:16" x14ac:dyDescent="0.2">
      <c r="I534" s="44"/>
      <c r="J534" s="118"/>
      <c r="K534" s="118"/>
      <c r="L534" s="118"/>
      <c r="M534" s="118"/>
      <c r="N534" s="118"/>
      <c r="O534" s="118"/>
      <c r="P534" s="118"/>
    </row>
    <row r="535" spans="9:16" x14ac:dyDescent="0.2">
      <c r="I535" s="44"/>
      <c r="J535" s="118"/>
      <c r="K535" s="118"/>
      <c r="L535" s="118"/>
      <c r="M535" s="118"/>
      <c r="N535" s="118"/>
      <c r="O535" s="118"/>
      <c r="P535" s="118"/>
    </row>
    <row r="536" spans="9:16" x14ac:dyDescent="0.2">
      <c r="I536" s="44"/>
      <c r="J536" s="118"/>
      <c r="K536" s="118"/>
      <c r="L536" s="118"/>
      <c r="M536" s="118"/>
      <c r="N536" s="118"/>
      <c r="O536" s="118"/>
      <c r="P536" s="118"/>
    </row>
    <row r="537" spans="9:16" x14ac:dyDescent="0.2">
      <c r="I537" s="44"/>
      <c r="J537" s="118"/>
      <c r="K537" s="118"/>
      <c r="L537" s="118"/>
      <c r="M537" s="118"/>
      <c r="N537" s="118"/>
      <c r="O537" s="118"/>
      <c r="P537" s="118"/>
    </row>
    <row r="538" spans="9:16" x14ac:dyDescent="0.2">
      <c r="I538" s="44"/>
      <c r="J538" s="118"/>
      <c r="K538" s="118"/>
      <c r="L538" s="118"/>
      <c r="M538" s="118"/>
      <c r="N538" s="118"/>
      <c r="O538" s="118"/>
      <c r="P538" s="118"/>
    </row>
    <row r="539" spans="9:16" x14ac:dyDescent="0.2">
      <c r="I539" s="44"/>
      <c r="J539" s="118"/>
      <c r="K539" s="118"/>
      <c r="L539" s="118"/>
      <c r="M539" s="118"/>
      <c r="N539" s="118"/>
      <c r="O539" s="118"/>
      <c r="P539" s="118"/>
    </row>
    <row r="540" spans="9:16" x14ac:dyDescent="0.2">
      <c r="I540" s="44"/>
      <c r="J540" s="118"/>
      <c r="K540" s="118"/>
      <c r="L540" s="118"/>
      <c r="M540" s="118"/>
      <c r="N540" s="118"/>
      <c r="O540" s="118"/>
      <c r="P540" s="118"/>
    </row>
    <row r="541" spans="9:16" x14ac:dyDescent="0.2">
      <c r="I541" s="44"/>
      <c r="J541" s="118"/>
      <c r="K541" s="118"/>
      <c r="L541" s="118"/>
      <c r="M541" s="118"/>
      <c r="N541" s="118"/>
      <c r="O541" s="118"/>
      <c r="P541" s="118"/>
    </row>
    <row r="542" spans="9:16" x14ac:dyDescent="0.2">
      <c r="I542" s="44"/>
      <c r="J542" s="118"/>
      <c r="K542" s="118"/>
      <c r="L542" s="118"/>
      <c r="M542" s="118"/>
      <c r="N542" s="118"/>
      <c r="O542" s="118"/>
      <c r="P542" s="118"/>
    </row>
    <row r="543" spans="9:16" x14ac:dyDescent="0.2">
      <c r="I543" s="44"/>
      <c r="J543" s="118"/>
      <c r="K543" s="118"/>
      <c r="L543" s="118"/>
      <c r="M543" s="118"/>
      <c r="N543" s="118"/>
      <c r="O543" s="118"/>
      <c r="P543" s="118"/>
    </row>
    <row r="544" spans="9:16" x14ac:dyDescent="0.2">
      <c r="I544" s="44"/>
      <c r="J544" s="118"/>
      <c r="K544" s="118"/>
      <c r="L544" s="118"/>
      <c r="M544" s="118"/>
      <c r="N544" s="118"/>
      <c r="O544" s="118"/>
      <c r="P544" s="118"/>
    </row>
    <row r="545" spans="10:16" x14ac:dyDescent="0.2">
      <c r="J545" s="118"/>
      <c r="K545" s="118"/>
      <c r="L545" s="118"/>
      <c r="M545" s="118"/>
      <c r="N545" s="118"/>
      <c r="O545" s="118"/>
      <c r="P545" s="118"/>
    </row>
    <row r="546" spans="10:16" x14ac:dyDescent="0.2">
      <c r="J546" s="118"/>
      <c r="K546" s="118"/>
      <c r="L546" s="118"/>
      <c r="M546" s="118"/>
      <c r="N546" s="118"/>
      <c r="O546" s="118"/>
      <c r="P546" s="118"/>
    </row>
    <row r="547" spans="10:16" x14ac:dyDescent="0.2">
      <c r="J547" s="118"/>
      <c r="K547" s="118"/>
      <c r="L547" s="118"/>
      <c r="M547" s="118"/>
      <c r="N547" s="118"/>
      <c r="O547" s="118"/>
      <c r="P547" s="118"/>
    </row>
    <row r="548" spans="10:16" x14ac:dyDescent="0.2">
      <c r="J548" s="118"/>
      <c r="K548" s="118"/>
      <c r="L548" s="118"/>
      <c r="M548" s="118"/>
      <c r="N548" s="118"/>
      <c r="O548" s="118"/>
      <c r="P548" s="118"/>
    </row>
    <row r="549" spans="10:16" x14ac:dyDescent="0.2">
      <c r="J549" s="118"/>
      <c r="K549" s="118"/>
      <c r="L549" s="118"/>
      <c r="M549" s="118"/>
      <c r="N549" s="118"/>
      <c r="O549" s="118"/>
      <c r="P549" s="118"/>
    </row>
    <row r="550" spans="10:16" x14ac:dyDescent="0.2">
      <c r="J550" s="118"/>
      <c r="K550" s="118"/>
      <c r="L550" s="118"/>
      <c r="M550" s="118"/>
      <c r="N550" s="118"/>
      <c r="O550" s="118"/>
      <c r="P550" s="118"/>
    </row>
    <row r="551" spans="10:16" x14ac:dyDescent="0.2">
      <c r="J551" s="118"/>
      <c r="K551" s="118"/>
      <c r="L551" s="118"/>
      <c r="M551" s="118"/>
      <c r="N551" s="118"/>
      <c r="O551" s="118"/>
      <c r="P551" s="118"/>
    </row>
    <row r="552" spans="10:16" x14ac:dyDescent="0.2">
      <c r="J552" s="118"/>
      <c r="K552" s="118"/>
      <c r="L552" s="118"/>
      <c r="M552" s="118"/>
      <c r="N552" s="118"/>
      <c r="O552" s="118"/>
      <c r="P552" s="118"/>
    </row>
    <row r="553" spans="10:16" x14ac:dyDescent="0.2">
      <c r="J553" s="118"/>
      <c r="K553" s="118"/>
      <c r="L553" s="118"/>
      <c r="M553" s="118"/>
      <c r="N553" s="118"/>
      <c r="O553" s="118"/>
      <c r="P553" s="118"/>
    </row>
    <row r="554" spans="10:16" x14ac:dyDescent="0.2">
      <c r="J554" s="118"/>
      <c r="K554" s="118"/>
      <c r="L554" s="118"/>
      <c r="M554" s="118"/>
      <c r="N554" s="118"/>
      <c r="O554" s="118"/>
      <c r="P554" s="118"/>
    </row>
    <row r="555" spans="10:16" x14ac:dyDescent="0.2">
      <c r="J555" s="118"/>
      <c r="K555" s="118"/>
      <c r="L555" s="118"/>
      <c r="M555" s="118"/>
      <c r="N555" s="118"/>
      <c r="O555" s="118"/>
      <c r="P555" s="118"/>
    </row>
    <row r="556" spans="10:16" x14ac:dyDescent="0.2">
      <c r="J556" s="118"/>
      <c r="K556" s="118"/>
      <c r="L556" s="118"/>
      <c r="M556" s="118"/>
      <c r="N556" s="118"/>
      <c r="O556" s="118"/>
      <c r="P556" s="118"/>
    </row>
    <row r="557" spans="10:16" x14ac:dyDescent="0.2">
      <c r="J557" s="118"/>
      <c r="K557" s="118"/>
      <c r="L557" s="118"/>
      <c r="M557" s="118"/>
      <c r="N557" s="118"/>
      <c r="O557" s="118"/>
      <c r="P557" s="118"/>
    </row>
    <row r="558" spans="10:16" x14ac:dyDescent="0.2">
      <c r="J558" s="118"/>
      <c r="K558" s="118"/>
      <c r="L558" s="118"/>
      <c r="M558" s="118"/>
      <c r="N558" s="118"/>
      <c r="O558" s="118"/>
      <c r="P558" s="118"/>
    </row>
    <row r="559" spans="10:16" x14ac:dyDescent="0.2">
      <c r="J559" s="118"/>
      <c r="K559" s="118"/>
      <c r="L559" s="118"/>
      <c r="M559" s="118"/>
      <c r="N559" s="118"/>
      <c r="O559" s="118"/>
      <c r="P559" s="118"/>
    </row>
    <row r="560" spans="10:16" x14ac:dyDescent="0.2">
      <c r="J560" s="118"/>
      <c r="K560" s="118"/>
      <c r="L560" s="118"/>
      <c r="M560" s="118"/>
      <c r="N560" s="118"/>
      <c r="O560" s="118"/>
      <c r="P560" s="118"/>
    </row>
    <row r="561" spans="10:16" x14ac:dyDescent="0.2">
      <c r="J561" s="118"/>
      <c r="K561" s="118"/>
      <c r="L561" s="118"/>
      <c r="M561" s="118"/>
      <c r="N561" s="118"/>
      <c r="O561" s="118"/>
      <c r="P561" s="118"/>
    </row>
    <row r="562" spans="10:16" x14ac:dyDescent="0.2">
      <c r="J562" s="118"/>
      <c r="K562" s="118"/>
      <c r="L562" s="118"/>
      <c r="M562" s="118"/>
      <c r="N562" s="118"/>
      <c r="O562" s="118"/>
      <c r="P562" s="118"/>
    </row>
    <row r="563" spans="10:16" x14ac:dyDescent="0.2">
      <c r="J563" s="118"/>
      <c r="K563" s="118"/>
      <c r="L563" s="118"/>
      <c r="M563" s="118"/>
      <c r="N563" s="118"/>
      <c r="O563" s="118"/>
      <c r="P563" s="118"/>
    </row>
    <row r="564" spans="10:16" x14ac:dyDescent="0.2">
      <c r="J564" s="118"/>
      <c r="K564" s="118"/>
      <c r="L564" s="118"/>
      <c r="M564" s="118"/>
      <c r="N564" s="118"/>
      <c r="O564" s="118"/>
      <c r="P564" s="118"/>
    </row>
    <row r="565" spans="10:16" x14ac:dyDescent="0.2">
      <c r="J565" s="118"/>
      <c r="K565" s="118"/>
      <c r="L565" s="118"/>
      <c r="M565" s="118"/>
      <c r="N565" s="118"/>
      <c r="O565" s="118"/>
      <c r="P565" s="118"/>
    </row>
    <row r="566" spans="10:16" x14ac:dyDescent="0.2">
      <c r="J566" s="118"/>
      <c r="K566" s="118"/>
      <c r="L566" s="118"/>
      <c r="M566" s="118"/>
      <c r="N566" s="118"/>
      <c r="O566" s="118"/>
      <c r="P566" s="118"/>
    </row>
    <row r="567" spans="10:16" x14ac:dyDescent="0.2">
      <c r="J567" s="118"/>
      <c r="K567" s="118"/>
      <c r="L567" s="118"/>
      <c r="M567" s="118"/>
      <c r="N567" s="118"/>
      <c r="O567" s="118"/>
      <c r="P567" s="118"/>
    </row>
    <row r="568" spans="10:16" x14ac:dyDescent="0.2">
      <c r="J568" s="118"/>
      <c r="K568" s="118"/>
      <c r="L568" s="118"/>
      <c r="M568" s="118"/>
      <c r="N568" s="118"/>
      <c r="O568" s="118"/>
      <c r="P568" s="118"/>
    </row>
  </sheetData>
  <sheetProtection algorithmName="SHA-512" hashValue="Wu4j5mp7EXT1ucKD7OWHVgu0wYyftRwPqAaybZgbFRj3NbtGAZJSLMP+8niOpBfJPFXPkRwu70boipFuerFLvQ==" saltValue="ba8j+pY0FUSCJWINeV35UA==" spinCount="100000" sheet="1" objects="1" scenarios="1" selectLockedCells="1"/>
  <mergeCells count="107">
    <mergeCell ref="J10:L10"/>
    <mergeCell ref="D445:E445"/>
    <mergeCell ref="D408:F408"/>
    <mergeCell ref="D355:E355"/>
    <mergeCell ref="D405:E405"/>
    <mergeCell ref="D100:G100"/>
    <mergeCell ref="C76:D76"/>
    <mergeCell ref="B82:D82"/>
    <mergeCell ref="C83:D83"/>
    <mergeCell ref="C85:D85"/>
    <mergeCell ref="B77:C80"/>
    <mergeCell ref="D77:D78"/>
    <mergeCell ref="C27:D27"/>
    <mergeCell ref="B34:D34"/>
    <mergeCell ref="C35:D35"/>
    <mergeCell ref="C36:D36"/>
    <mergeCell ref="C37:D37"/>
    <mergeCell ref="B29:C32"/>
    <mergeCell ref="J119:L119"/>
    <mergeCell ref="D113:F113"/>
    <mergeCell ref="D169:E169"/>
    <mergeCell ref="D228:E228"/>
    <mergeCell ref="C93:D93"/>
    <mergeCell ref="D231:F231"/>
    <mergeCell ref="C28:D28"/>
    <mergeCell ref="C51:D51"/>
    <mergeCell ref="C52:D52"/>
    <mergeCell ref="C63:D63"/>
    <mergeCell ref="D29:D30"/>
    <mergeCell ref="B21:H21"/>
    <mergeCell ref="B22:D22"/>
    <mergeCell ref="C23:D23"/>
    <mergeCell ref="C24:D24"/>
    <mergeCell ref="C25:D25"/>
    <mergeCell ref="C26:D26"/>
    <mergeCell ref="C38:D38"/>
    <mergeCell ref="C40:D40"/>
    <mergeCell ref="B57:H57"/>
    <mergeCell ref="E43:H44"/>
    <mergeCell ref="C48:D48"/>
    <mergeCell ref="C49:D49"/>
    <mergeCell ref="B47:D47"/>
    <mergeCell ref="C59:D59"/>
    <mergeCell ref="C61:D61"/>
    <mergeCell ref="C62:D62"/>
    <mergeCell ref="D449:F449"/>
    <mergeCell ref="D455:E455"/>
    <mergeCell ref="B91:H91"/>
    <mergeCell ref="B92:D92"/>
    <mergeCell ref="D304:E304"/>
    <mergeCell ref="D308:F308"/>
    <mergeCell ref="D354:E354"/>
    <mergeCell ref="D358:F358"/>
    <mergeCell ref="D172:F172"/>
    <mergeCell ref="D227:E227"/>
    <mergeCell ref="D111:F111"/>
    <mergeCell ref="D305:E305"/>
    <mergeCell ref="D446:E446"/>
    <mergeCell ref="D94:D97"/>
    <mergeCell ref="G99:H99"/>
    <mergeCell ref="C99:D99"/>
    <mergeCell ref="E64:H65"/>
    <mergeCell ref="D66:D67"/>
    <mergeCell ref="E66:H67"/>
    <mergeCell ref="C60:D60"/>
    <mergeCell ref="C50:D50"/>
    <mergeCell ref="B94:C97"/>
    <mergeCell ref="E53:H54"/>
    <mergeCell ref="D55:D56"/>
    <mergeCell ref="E55:H56"/>
    <mergeCell ref="E89:H90"/>
    <mergeCell ref="B69:H69"/>
    <mergeCell ref="E77:H78"/>
    <mergeCell ref="D79:D80"/>
    <mergeCell ref="E79:H80"/>
    <mergeCell ref="B81:H81"/>
    <mergeCell ref="B87:C90"/>
    <mergeCell ref="D87:D88"/>
    <mergeCell ref="E87:H88"/>
    <mergeCell ref="C75:D75"/>
    <mergeCell ref="C84:D84"/>
    <mergeCell ref="B58:D58"/>
    <mergeCell ref="C86:D86"/>
    <mergeCell ref="B18:H18"/>
    <mergeCell ref="D404:E404"/>
    <mergeCell ref="E29:H30"/>
    <mergeCell ref="D31:D32"/>
    <mergeCell ref="E31:H32"/>
    <mergeCell ref="C73:D73"/>
    <mergeCell ref="C74:D74"/>
    <mergeCell ref="D168:E168"/>
    <mergeCell ref="B33:H33"/>
    <mergeCell ref="B41:C44"/>
    <mergeCell ref="D41:D42"/>
    <mergeCell ref="E41:H42"/>
    <mergeCell ref="D43:D44"/>
    <mergeCell ref="B46:H46"/>
    <mergeCell ref="B53:C56"/>
    <mergeCell ref="D53:D54"/>
    <mergeCell ref="D89:D90"/>
    <mergeCell ref="E94:H97"/>
    <mergeCell ref="B70:D70"/>
    <mergeCell ref="C39:D39"/>
    <mergeCell ref="C71:D71"/>
    <mergeCell ref="C72:D72"/>
    <mergeCell ref="B64:C67"/>
    <mergeCell ref="D64:D65"/>
  </mergeCells>
  <pageMargins left="0.70866141732283472" right="0.70866141732283472" top="0.74803149606299213" bottom="0.74803149606299213" header="0.31496062992125984" footer="0.31496062992125984"/>
  <pageSetup scale="40" fitToHeight="0" orientation="landscape" r:id="rId1"/>
  <headerFooter>
    <oddFooter>&amp;L&amp;A&amp;C&amp;12&amp;P&amp;R&amp;12&amp;D</oddFooter>
  </headerFooter>
  <rowBreaks count="2" manualBreakCount="2">
    <brk id="44" max="16383" man="1"/>
    <brk id="6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B52"/>
  <sheetViews>
    <sheetView zoomScale="72" zoomScaleNormal="115" workbookViewId="0">
      <selection activeCell="B7" sqref="B7"/>
    </sheetView>
  </sheetViews>
  <sheetFormatPr defaultColWidth="9.140625" defaultRowHeight="15" x14ac:dyDescent="0.2"/>
  <cols>
    <col min="1" max="1" width="9.140625" style="34"/>
    <col min="2" max="2" width="94.140625" style="58" customWidth="1"/>
    <col min="3" max="16384" width="9.140625" style="44"/>
  </cols>
  <sheetData>
    <row r="2" spans="1:2" ht="15.75" thickBot="1" x14ac:dyDescent="0.25"/>
    <row r="3" spans="1:2" ht="15.75" thickBot="1" x14ac:dyDescent="0.25">
      <c r="A3" s="52"/>
      <c r="B3" s="53" t="s">
        <v>121</v>
      </c>
    </row>
    <row r="4" spans="1:2" ht="93" customHeight="1" thickBot="1" x14ac:dyDescent="0.25">
      <c r="A4" s="80" t="s">
        <v>122</v>
      </c>
      <c r="B4" s="82" t="s">
        <v>197</v>
      </c>
    </row>
    <row r="5" spans="1:2" ht="79.5" customHeight="1" x14ac:dyDescent="0.2">
      <c r="A5" s="54" t="s">
        <v>130</v>
      </c>
      <c r="B5" s="81" t="s">
        <v>198</v>
      </c>
    </row>
    <row r="6" spans="1:2" ht="75.75" customHeight="1" x14ac:dyDescent="0.2">
      <c r="A6" s="54" t="s">
        <v>131</v>
      </c>
      <c r="B6" s="55" t="s">
        <v>199</v>
      </c>
    </row>
    <row r="7" spans="1:2" ht="71.25" x14ac:dyDescent="0.2">
      <c r="A7" s="54" t="s">
        <v>132</v>
      </c>
      <c r="B7" s="55" t="s">
        <v>200</v>
      </c>
    </row>
    <row r="8" spans="1:2" ht="59.25" customHeight="1" thickBot="1" x14ac:dyDescent="0.25">
      <c r="A8" s="54" t="s">
        <v>133</v>
      </c>
      <c r="B8" s="79" t="s">
        <v>201</v>
      </c>
    </row>
    <row r="9" spans="1:2" ht="55.5" hidden="1" customHeight="1" thickBot="1" x14ac:dyDescent="0.25">
      <c r="A9" s="56" t="s">
        <v>136</v>
      </c>
      <c r="B9" s="57" t="s">
        <v>201</v>
      </c>
    </row>
    <row r="11" spans="1:2" ht="15.75" thickBot="1" x14ac:dyDescent="0.25"/>
    <row r="12" spans="1:2" x14ac:dyDescent="0.2">
      <c r="A12" s="59"/>
      <c r="B12" s="60" t="s">
        <v>146</v>
      </c>
    </row>
    <row r="13" spans="1:2" ht="89.25" customHeight="1" x14ac:dyDescent="0.2">
      <c r="A13" s="54" t="s">
        <v>122</v>
      </c>
      <c r="B13" s="61" t="s">
        <v>202</v>
      </c>
    </row>
    <row r="14" spans="1:2" hidden="1" x14ac:dyDescent="0.2">
      <c r="A14" s="54" t="s">
        <v>130</v>
      </c>
      <c r="B14" s="61"/>
    </row>
    <row r="15" spans="1:2" ht="69.75" customHeight="1" x14ac:dyDescent="0.2">
      <c r="A15" s="54" t="s">
        <v>130</v>
      </c>
      <c r="B15" s="61" t="s">
        <v>203</v>
      </c>
    </row>
    <row r="16" spans="1:2" ht="75.75" customHeight="1" x14ac:dyDescent="0.2">
      <c r="A16" s="54" t="s">
        <v>131</v>
      </c>
      <c r="B16" s="61" t="s">
        <v>204</v>
      </c>
    </row>
    <row r="17" spans="1:2" ht="41.25" customHeight="1" x14ac:dyDescent="0.2">
      <c r="A17" s="54" t="s">
        <v>132</v>
      </c>
      <c r="B17" s="61" t="s">
        <v>205</v>
      </c>
    </row>
    <row r="18" spans="1:2" ht="69" customHeight="1" thickBot="1" x14ac:dyDescent="0.25">
      <c r="A18" s="56" t="s">
        <v>133</v>
      </c>
      <c r="B18" s="62" t="s">
        <v>206</v>
      </c>
    </row>
    <row r="20" spans="1:2" ht="15.75" thickBot="1" x14ac:dyDescent="0.25"/>
    <row r="21" spans="1:2" x14ac:dyDescent="0.2">
      <c r="A21" s="59"/>
      <c r="B21" s="60" t="s">
        <v>155</v>
      </c>
    </row>
    <row r="22" spans="1:2" ht="71.25" x14ac:dyDescent="0.2">
      <c r="A22" s="54" t="s">
        <v>122</v>
      </c>
      <c r="B22" s="55" t="s">
        <v>207</v>
      </c>
    </row>
    <row r="23" spans="1:2" hidden="1" x14ac:dyDescent="0.2">
      <c r="A23" s="54" t="s">
        <v>130</v>
      </c>
      <c r="B23" s="55"/>
    </row>
    <row r="24" spans="1:2" ht="99.75" customHeight="1" x14ac:dyDescent="0.2">
      <c r="A24" s="54" t="s">
        <v>130</v>
      </c>
      <c r="B24" s="55" t="s">
        <v>208</v>
      </c>
    </row>
    <row r="25" spans="1:2" hidden="1" x14ac:dyDescent="0.2">
      <c r="A25" s="54" t="s">
        <v>132</v>
      </c>
      <c r="B25" s="55"/>
    </row>
    <row r="26" spans="1:2" ht="93" customHeight="1" x14ac:dyDescent="0.2">
      <c r="A26" s="54" t="s">
        <v>131</v>
      </c>
      <c r="B26" s="55" t="s">
        <v>209</v>
      </c>
    </row>
    <row r="27" spans="1:2" hidden="1" x14ac:dyDescent="0.2">
      <c r="A27" s="54" t="s">
        <v>136</v>
      </c>
      <c r="B27" s="55"/>
    </row>
    <row r="28" spans="1:2" ht="96" customHeight="1" x14ac:dyDescent="0.2">
      <c r="A28" s="54" t="s">
        <v>132</v>
      </c>
      <c r="B28" s="55" t="s">
        <v>210</v>
      </c>
    </row>
    <row r="29" spans="1:2" ht="80.25" customHeight="1" thickBot="1" x14ac:dyDescent="0.25">
      <c r="A29" s="56" t="s">
        <v>133</v>
      </c>
      <c r="B29" s="57" t="s">
        <v>211</v>
      </c>
    </row>
    <row r="31" spans="1:2" ht="15.75" thickBot="1" x14ac:dyDescent="0.25"/>
    <row r="32" spans="1:2" x14ac:dyDescent="0.2">
      <c r="A32" s="59"/>
      <c r="B32" s="60" t="s">
        <v>180</v>
      </c>
    </row>
    <row r="33" spans="1:2" ht="99.75" x14ac:dyDescent="0.2">
      <c r="A33" s="65" t="s">
        <v>122</v>
      </c>
      <c r="B33" s="63" t="s">
        <v>212</v>
      </c>
    </row>
    <row r="34" spans="1:2" ht="76.5" customHeight="1" x14ac:dyDescent="0.2">
      <c r="A34" s="65" t="s">
        <v>130</v>
      </c>
      <c r="B34" s="63" t="s">
        <v>213</v>
      </c>
    </row>
    <row r="35" spans="1:2" ht="99" customHeight="1" x14ac:dyDescent="0.2">
      <c r="A35" s="65" t="s">
        <v>131</v>
      </c>
      <c r="B35" s="63" t="s">
        <v>214</v>
      </c>
    </row>
    <row r="36" spans="1:2" ht="57" x14ac:dyDescent="0.2">
      <c r="A36" s="65" t="s">
        <v>132</v>
      </c>
      <c r="B36" s="63" t="s">
        <v>215</v>
      </c>
    </row>
    <row r="37" spans="1:2" ht="57" x14ac:dyDescent="0.2">
      <c r="A37" s="65" t="s">
        <v>133</v>
      </c>
      <c r="B37" s="61" t="s">
        <v>216</v>
      </c>
    </row>
    <row r="38" spans="1:2" x14ac:dyDescent="0.2">
      <c r="B38" s="64"/>
    </row>
    <row r="39" spans="1:2" ht="15.75" thickBot="1" x14ac:dyDescent="0.25">
      <c r="B39" s="64"/>
    </row>
    <row r="40" spans="1:2" x14ac:dyDescent="0.2">
      <c r="A40" s="59"/>
      <c r="B40" s="60" t="s">
        <v>182</v>
      </c>
    </row>
    <row r="41" spans="1:2" ht="99.75" x14ac:dyDescent="0.2">
      <c r="A41" s="54" t="s">
        <v>122</v>
      </c>
      <c r="B41" s="55" t="s">
        <v>217</v>
      </c>
    </row>
    <row r="42" spans="1:2" ht="71.25" x14ac:dyDescent="0.2">
      <c r="A42" s="54" t="s">
        <v>130</v>
      </c>
      <c r="B42" s="55" t="s">
        <v>218</v>
      </c>
    </row>
    <row r="43" spans="1:2" hidden="1" x14ac:dyDescent="0.2">
      <c r="A43" s="54" t="s">
        <v>131</v>
      </c>
      <c r="B43" s="61"/>
    </row>
    <row r="44" spans="1:2" ht="57" x14ac:dyDescent="0.2">
      <c r="A44" s="54" t="s">
        <v>131</v>
      </c>
      <c r="B44" s="55" t="s">
        <v>219</v>
      </c>
    </row>
    <row r="45" spans="1:2" ht="43.5" thickBot="1" x14ac:dyDescent="0.25">
      <c r="A45" s="56" t="s">
        <v>132</v>
      </c>
      <c r="B45" s="57" t="s">
        <v>220</v>
      </c>
    </row>
    <row r="47" spans="1:2" ht="15.75" thickBot="1" x14ac:dyDescent="0.25"/>
    <row r="48" spans="1:2" x14ac:dyDescent="0.2">
      <c r="A48" s="59"/>
      <c r="B48" s="60" t="s">
        <v>191</v>
      </c>
    </row>
    <row r="49" spans="1:2" ht="89.25" customHeight="1" x14ac:dyDescent="0.2">
      <c r="A49" s="54" t="s">
        <v>122</v>
      </c>
      <c r="B49" s="55" t="s">
        <v>221</v>
      </c>
    </row>
    <row r="50" spans="1:2" ht="101.25" customHeight="1" x14ac:dyDescent="0.2">
      <c r="A50" s="54" t="s">
        <v>130</v>
      </c>
      <c r="B50" s="55" t="s">
        <v>222</v>
      </c>
    </row>
    <row r="51" spans="1:2" ht="63.75" customHeight="1" x14ac:dyDescent="0.2">
      <c r="A51" s="54" t="s">
        <v>131</v>
      </c>
      <c r="B51" s="55" t="s">
        <v>223</v>
      </c>
    </row>
    <row r="52" spans="1:2" ht="60.75" customHeight="1" thickBot="1" x14ac:dyDescent="0.25">
      <c r="A52" s="56" t="s">
        <v>132</v>
      </c>
      <c r="B52" s="57" t="s">
        <v>224</v>
      </c>
    </row>
  </sheetData>
  <sheetProtection algorithmName="SHA-512" hashValue="BROYJSnDw6T0iHtdlC+dKFJY+6iJGvV0HOm1oTp0axCvOnG+utUwYJ/2zp2vDC3yGl8pWxwHZ2ai3+EX3kBL5g==" saltValue="oopnuDWSqm1wprHcjPSrr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41887a6-189c-4da0-ae02-5e60bf56f25f">FCXWYJYEZW3F-1033812010-237</_dlc_DocId>
    <_dlc_DocIdUrl xmlns="541887a6-189c-4da0-ae02-5e60bf56f25f">
      <Url>https://ontariogov.sharepoint.com/sites/MTO-TIMD/SSB/CMI/_layouts/15/DocIdRedir.aspx?ID=FCXWYJYEZW3F-1033812010-237</Url>
      <Description>FCXWYJYEZW3F-1033812010-237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F m h v V t v L X u + j A A A A 9 g A A A B I A H A B D b 2 5 m a W c v U G F j a 2 F n Z S 5 4 b W w g o h g A K K A U A A A A A A A A A A A A A A A A A A A A A A A A A A A A h Y 9 B C s I w F E S v U r J v k s a N l N + I d G t B E M R t S G M b b H + l S U 3 v 5 s I j e Q U r W n X n c m b e w M z 9 e o P V 2 D b R x f T O d p i R h H I S G d R d a b H K y O C P 8 Z K s J G y V P q n K R B O M L h 2 d z U j t / T l l L I R A w 4 J 2 f c U E 5 w k 7 F J u d r k 2 r Y o v O K 9 S G f F r l / x a R s H + N k Y I m X F D B p 0 3 A Z h M K i 1 9 A T N k z / T E h H x o / 9 E Y a j P M 1 s F k C e 3 + Q D 1 B L A w Q U A A I A C A A W a G 9 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m h v V i i K R 7 g O A A A A E Q A A A B M A H A B G b 3 J t d W x h c y 9 T Z W N 0 a W 9 u M S 5 t I K I Y A C i g F A A A A A A A A A A A A A A A A A A A A A A A A A A A A C t O T S 7 J z M 9 T C I b Q h t Y A U E s B A i 0 A F A A C A A g A F m h v V t v L X u + j A A A A 9 g A A A B I A A A A A A A A A A A A A A A A A A A A A A E N v b m Z p Z y 9 Q Y W N r Y W d l L n h t b F B L A Q I t A B Q A A g A I A B Z o b 1 Y P y u m r p A A A A O k A A A A T A A A A A A A A A A A A A A A A A O 8 A A A B b Q 2 9 u d G V u d F 9 U e X B l c 1 0 u e G 1 s U E s B A i 0 A F A A C A A g A F m h v 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1 b T 6 a t T w N B m f o N F 2 c n M f Q A A A A A A g A A A A A A A 2 Y A A M A A A A A Q A A A A V d o m F e j 4 b X n W F P S Q P o B n Y A A A A A A E g A A A o A A A A B A A A A D k s v E 0 1 o k O G v V M 1 y U f p K R y U A A A A I 9 i r D V O b X 7 0 m A 8 w y V A G k C n M P l c P K J E Y y i j i b p i q t n / N Q G E f n e U s + q s l V 6 e 5 G l c 6 A a M 0 R Y 9 z S t r X e G F x b 7 8 / p Z U U n j T i S O p I m p u Q s J l a j D Q S F A A A A K d G O F X s y c T Z L p G N s S s 0 b I j l f z J k < / D a t a M a s h u p > 
</file>

<file path=customXml/item4.xml><?xml version="1.0" encoding="utf-8"?>
<ct:contentTypeSchema xmlns:ct="http://schemas.microsoft.com/office/2006/metadata/contentType" xmlns:ma="http://schemas.microsoft.com/office/2006/metadata/properties/metaAttributes" ct:_="" ma:_="" ma:contentTypeName="Document" ma:contentTypeID="0x010100B71D5624A412A349BD182A443CFFAF67" ma:contentTypeVersion="1429" ma:contentTypeDescription="Create a new document." ma:contentTypeScope="" ma:versionID="4dc27acdfe3fc061526e530114ff9648">
  <xsd:schema xmlns:xsd="http://www.w3.org/2001/XMLSchema" xmlns:xs="http://www.w3.org/2001/XMLSchema" xmlns:p="http://schemas.microsoft.com/office/2006/metadata/properties" xmlns:ns2="541887a6-189c-4da0-ae02-5e60bf56f25f" xmlns:ns3="df693878-c1c3-474c-9005-3783dd6244f4" xmlns:ns4="31282de1-9392-4bb5-8e4b-6106bbeec54d" targetNamespace="http://schemas.microsoft.com/office/2006/metadata/properties" ma:root="true" ma:fieldsID="6f0d9c0afa0db1319087863f4d8cfdee" ns2:_="" ns3:_="" ns4:_="">
    <xsd:import namespace="541887a6-189c-4da0-ae02-5e60bf56f25f"/>
    <xsd:import namespace="df693878-c1c3-474c-9005-3783dd6244f4"/>
    <xsd:import namespace="31282de1-9392-4bb5-8e4b-6106bbeec54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887a6-189c-4da0-ae02-5e60bf56f2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f693878-c1c3-474c-9005-3783dd6244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282de1-9392-4bb5-8e4b-6106bbeec54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7CC773-06EB-4742-903C-44CC1DFA9311}">
  <ds:schemaRefs>
    <ds:schemaRef ds:uri="http://schemas.microsoft.com/office/2006/metadata/properties"/>
    <ds:schemaRef ds:uri="http://schemas.microsoft.com/office/infopath/2007/PartnerControls"/>
    <ds:schemaRef ds:uri="541887a6-189c-4da0-ae02-5e60bf56f25f"/>
  </ds:schemaRefs>
</ds:datastoreItem>
</file>

<file path=customXml/itemProps2.xml><?xml version="1.0" encoding="utf-8"?>
<ds:datastoreItem xmlns:ds="http://schemas.openxmlformats.org/officeDocument/2006/customXml" ds:itemID="{8E4EF6CB-06E2-41A5-B31A-9EA8EEF65507}">
  <ds:schemaRefs>
    <ds:schemaRef ds:uri="http://schemas.microsoft.com/sharepoint/v3/contenttype/forms"/>
  </ds:schemaRefs>
</ds:datastoreItem>
</file>

<file path=customXml/itemProps3.xml><?xml version="1.0" encoding="utf-8"?>
<ds:datastoreItem xmlns:ds="http://schemas.openxmlformats.org/officeDocument/2006/customXml" ds:itemID="{81702912-CE72-4931-8855-D7815EAB696B}">
  <ds:schemaRefs>
    <ds:schemaRef ds:uri="http://schemas.microsoft.com/DataMashup"/>
  </ds:schemaRefs>
</ds:datastoreItem>
</file>

<file path=customXml/itemProps4.xml><?xml version="1.0" encoding="utf-8"?>
<ds:datastoreItem xmlns:ds="http://schemas.openxmlformats.org/officeDocument/2006/customXml" ds:itemID="{0DB37F4A-7A13-4FF7-901B-D9A6B0B4F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1887a6-189c-4da0-ae02-5e60bf56f25f"/>
    <ds:schemaRef ds:uri="df693878-c1c3-474c-9005-3783dd6244f4"/>
    <ds:schemaRef ds:uri="31282de1-9392-4bb5-8e4b-6106bbeec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39D6B39-16CC-4EC3-900F-64C34598EF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288</vt:i4>
      </vt:variant>
    </vt:vector>
  </HeadingPairs>
  <TitlesOfParts>
    <vt:vector size="292" baseType="lpstr">
      <vt:lpstr>Main</vt:lpstr>
      <vt:lpstr>Table</vt:lpstr>
      <vt:lpstr>Monthly</vt:lpstr>
      <vt:lpstr>Definitions for EXCEED</vt:lpstr>
      <vt:lpstr>AgreementNumber</vt:lpstr>
      <vt:lpstr>C_1_Completion</vt:lpstr>
      <vt:lpstr>C_1_Number</vt:lpstr>
      <vt:lpstr>C_1_Rating</vt:lpstr>
      <vt:lpstr>C_1_Weight</vt:lpstr>
      <vt:lpstr>C_11_D</vt:lpstr>
      <vt:lpstr>C_111</vt:lpstr>
      <vt:lpstr>C_111_CA</vt:lpstr>
      <vt:lpstr>C_111_MTO</vt:lpstr>
      <vt:lpstr>C_112</vt:lpstr>
      <vt:lpstr>C_113</vt:lpstr>
      <vt:lpstr>C_114</vt:lpstr>
      <vt:lpstr>C_12_D</vt:lpstr>
      <vt:lpstr>C_121</vt:lpstr>
      <vt:lpstr>C_121_CA</vt:lpstr>
      <vt:lpstr>C_121_MTO</vt:lpstr>
      <vt:lpstr>C_122</vt:lpstr>
      <vt:lpstr>C_123</vt:lpstr>
      <vt:lpstr>C_124</vt:lpstr>
      <vt:lpstr>C_13_D</vt:lpstr>
      <vt:lpstr>C_131</vt:lpstr>
      <vt:lpstr>C_131_CA</vt:lpstr>
      <vt:lpstr>C_131_MTO</vt:lpstr>
      <vt:lpstr>C_132</vt:lpstr>
      <vt:lpstr>C_133</vt:lpstr>
      <vt:lpstr>C_134</vt:lpstr>
      <vt:lpstr>C_14_D</vt:lpstr>
      <vt:lpstr>C_141</vt:lpstr>
      <vt:lpstr>C_141_CA</vt:lpstr>
      <vt:lpstr>C_141_MTO</vt:lpstr>
      <vt:lpstr>C_142</vt:lpstr>
      <vt:lpstr>C_143</vt:lpstr>
      <vt:lpstr>C_144</vt:lpstr>
      <vt:lpstr>C_15_D</vt:lpstr>
      <vt:lpstr>C_151</vt:lpstr>
      <vt:lpstr>C_151_CA</vt:lpstr>
      <vt:lpstr>C_151_MTO</vt:lpstr>
      <vt:lpstr>C_152</vt:lpstr>
      <vt:lpstr>C_153</vt:lpstr>
      <vt:lpstr>C_154</vt:lpstr>
      <vt:lpstr>C_16_D</vt:lpstr>
      <vt:lpstr>C_161</vt:lpstr>
      <vt:lpstr>C_161_CA</vt:lpstr>
      <vt:lpstr>C_161_MTO</vt:lpstr>
      <vt:lpstr>C_162</vt:lpstr>
      <vt:lpstr>C_163</vt:lpstr>
      <vt:lpstr>C_164</vt:lpstr>
      <vt:lpstr>C_2_Completion</vt:lpstr>
      <vt:lpstr>C_2_D</vt:lpstr>
      <vt:lpstr>C_2_Number</vt:lpstr>
      <vt:lpstr>C_2_Rating</vt:lpstr>
      <vt:lpstr>C_2_Weight</vt:lpstr>
      <vt:lpstr>C_21_D</vt:lpstr>
      <vt:lpstr>C_211</vt:lpstr>
      <vt:lpstr>C_211_CA</vt:lpstr>
      <vt:lpstr>C_211_MTO</vt:lpstr>
      <vt:lpstr>C_212</vt:lpstr>
      <vt:lpstr>C_213</vt:lpstr>
      <vt:lpstr>C_214</vt:lpstr>
      <vt:lpstr>C_22_D</vt:lpstr>
      <vt:lpstr>C_221</vt:lpstr>
      <vt:lpstr>C_221_CA</vt:lpstr>
      <vt:lpstr>C_221_MTO</vt:lpstr>
      <vt:lpstr>C_222</vt:lpstr>
      <vt:lpstr>C_223</vt:lpstr>
      <vt:lpstr>C_224</vt:lpstr>
      <vt:lpstr>C_23_D</vt:lpstr>
      <vt:lpstr>C_231</vt:lpstr>
      <vt:lpstr>C_231_CA</vt:lpstr>
      <vt:lpstr>C_231_MTO</vt:lpstr>
      <vt:lpstr>C_232</vt:lpstr>
      <vt:lpstr>C_233</vt:lpstr>
      <vt:lpstr>C_234</vt:lpstr>
      <vt:lpstr>C_24_D</vt:lpstr>
      <vt:lpstr>C_241</vt:lpstr>
      <vt:lpstr>C_241_CA</vt:lpstr>
      <vt:lpstr>C_241_MTO</vt:lpstr>
      <vt:lpstr>C_242</vt:lpstr>
      <vt:lpstr>C_243</vt:lpstr>
      <vt:lpstr>C_244</vt:lpstr>
      <vt:lpstr>C_25_D</vt:lpstr>
      <vt:lpstr>C_251</vt:lpstr>
      <vt:lpstr>C_251_CA</vt:lpstr>
      <vt:lpstr>C_251_MTO</vt:lpstr>
      <vt:lpstr>C_252</vt:lpstr>
      <vt:lpstr>C_253</vt:lpstr>
      <vt:lpstr>C_254</vt:lpstr>
      <vt:lpstr>C_261</vt:lpstr>
      <vt:lpstr>C_261_CA</vt:lpstr>
      <vt:lpstr>C_261_MTO</vt:lpstr>
      <vt:lpstr>C_262</vt:lpstr>
      <vt:lpstr>C_263</vt:lpstr>
      <vt:lpstr>C_264</vt:lpstr>
      <vt:lpstr>C_3_Completion</vt:lpstr>
      <vt:lpstr>C_3_D</vt:lpstr>
      <vt:lpstr>C_3_Number</vt:lpstr>
      <vt:lpstr>C_3_Rating</vt:lpstr>
      <vt:lpstr>C_3_Weight</vt:lpstr>
      <vt:lpstr>C_30_D</vt:lpstr>
      <vt:lpstr>C_31_D</vt:lpstr>
      <vt:lpstr>C_311</vt:lpstr>
      <vt:lpstr>C_311_CA</vt:lpstr>
      <vt:lpstr>C_311_MTO</vt:lpstr>
      <vt:lpstr>C_312</vt:lpstr>
      <vt:lpstr>C_313</vt:lpstr>
      <vt:lpstr>C_314</vt:lpstr>
      <vt:lpstr>C_32_D</vt:lpstr>
      <vt:lpstr>C_321</vt:lpstr>
      <vt:lpstr>C_321_CA</vt:lpstr>
      <vt:lpstr>C_321_MTO</vt:lpstr>
      <vt:lpstr>C_322</vt:lpstr>
      <vt:lpstr>C_323</vt:lpstr>
      <vt:lpstr>C_324</vt:lpstr>
      <vt:lpstr>C_33_D</vt:lpstr>
      <vt:lpstr>C_331</vt:lpstr>
      <vt:lpstr>C_331_CA</vt:lpstr>
      <vt:lpstr>C_331_MTO</vt:lpstr>
      <vt:lpstr>C_332</vt:lpstr>
      <vt:lpstr>C_333</vt:lpstr>
      <vt:lpstr>C_334</vt:lpstr>
      <vt:lpstr>C_34_D</vt:lpstr>
      <vt:lpstr>C_341</vt:lpstr>
      <vt:lpstr>C_341_CA</vt:lpstr>
      <vt:lpstr>C_341_MTO</vt:lpstr>
      <vt:lpstr>C_342</vt:lpstr>
      <vt:lpstr>C_343</vt:lpstr>
      <vt:lpstr>C_344</vt:lpstr>
      <vt:lpstr>C_35_D</vt:lpstr>
      <vt:lpstr>C_351</vt:lpstr>
      <vt:lpstr>C_351_CA</vt:lpstr>
      <vt:lpstr>C_351_MTO</vt:lpstr>
      <vt:lpstr>C_352</vt:lpstr>
      <vt:lpstr>C_353</vt:lpstr>
      <vt:lpstr>C_354</vt:lpstr>
      <vt:lpstr>C_36_D</vt:lpstr>
      <vt:lpstr>C_361</vt:lpstr>
      <vt:lpstr>C_362</vt:lpstr>
      <vt:lpstr>C_363</vt:lpstr>
      <vt:lpstr>C_364</vt:lpstr>
      <vt:lpstr>C_371</vt:lpstr>
      <vt:lpstr>C_371_CA</vt:lpstr>
      <vt:lpstr>C_371_MTO</vt:lpstr>
      <vt:lpstr>C_372</vt:lpstr>
      <vt:lpstr>C_373</vt:lpstr>
      <vt:lpstr>C_374</vt:lpstr>
      <vt:lpstr>C_381</vt:lpstr>
      <vt:lpstr>C_381_CA</vt:lpstr>
      <vt:lpstr>C_381_MTO</vt:lpstr>
      <vt:lpstr>C_382</vt:lpstr>
      <vt:lpstr>C_383</vt:lpstr>
      <vt:lpstr>C_384</vt:lpstr>
      <vt:lpstr>C_4_Completion</vt:lpstr>
      <vt:lpstr>C_4_Number</vt:lpstr>
      <vt:lpstr>C_4_Rating</vt:lpstr>
      <vt:lpstr>C_4_Weight</vt:lpstr>
      <vt:lpstr>C_41_D</vt:lpstr>
      <vt:lpstr>C_411</vt:lpstr>
      <vt:lpstr>C_411_CA</vt:lpstr>
      <vt:lpstr>C_411_MTO</vt:lpstr>
      <vt:lpstr>C_412</vt:lpstr>
      <vt:lpstr>C_413</vt:lpstr>
      <vt:lpstr>C_414</vt:lpstr>
      <vt:lpstr>C_42_D</vt:lpstr>
      <vt:lpstr>C_421</vt:lpstr>
      <vt:lpstr>C_421_CA</vt:lpstr>
      <vt:lpstr>C_421_MTO</vt:lpstr>
      <vt:lpstr>C_422</vt:lpstr>
      <vt:lpstr>C_423</vt:lpstr>
      <vt:lpstr>C_424</vt:lpstr>
      <vt:lpstr>C_43_D</vt:lpstr>
      <vt:lpstr>C_431</vt:lpstr>
      <vt:lpstr>C_431_CA</vt:lpstr>
      <vt:lpstr>C_431_MTO</vt:lpstr>
      <vt:lpstr>C_432</vt:lpstr>
      <vt:lpstr>C_433</vt:lpstr>
      <vt:lpstr>C_434</vt:lpstr>
      <vt:lpstr>C_44_D</vt:lpstr>
      <vt:lpstr>C_441</vt:lpstr>
      <vt:lpstr>C_441_CA</vt:lpstr>
      <vt:lpstr>C_441_MTO</vt:lpstr>
      <vt:lpstr>C_442</vt:lpstr>
      <vt:lpstr>C_443</vt:lpstr>
      <vt:lpstr>C_444</vt:lpstr>
      <vt:lpstr>C_45_D</vt:lpstr>
      <vt:lpstr>C_451</vt:lpstr>
      <vt:lpstr>C_451_CA</vt:lpstr>
      <vt:lpstr>C_451_MTO</vt:lpstr>
      <vt:lpstr>C_452</vt:lpstr>
      <vt:lpstr>C_453</vt:lpstr>
      <vt:lpstr>C_454</vt:lpstr>
      <vt:lpstr>C_5_Completion</vt:lpstr>
      <vt:lpstr>C_5_D</vt:lpstr>
      <vt:lpstr>C_5_Number</vt:lpstr>
      <vt:lpstr>C_5_Rating</vt:lpstr>
      <vt:lpstr>C_5_Weight</vt:lpstr>
      <vt:lpstr>C_51_D</vt:lpstr>
      <vt:lpstr>C_511</vt:lpstr>
      <vt:lpstr>C_511_CA</vt:lpstr>
      <vt:lpstr>C_511_MTO</vt:lpstr>
      <vt:lpstr>C_512</vt:lpstr>
      <vt:lpstr>C_513</vt:lpstr>
      <vt:lpstr>C_514</vt:lpstr>
      <vt:lpstr>C_52_D</vt:lpstr>
      <vt:lpstr>C_521</vt:lpstr>
      <vt:lpstr>C_521_CA</vt:lpstr>
      <vt:lpstr>C_521_MTO</vt:lpstr>
      <vt:lpstr>C_522</vt:lpstr>
      <vt:lpstr>C_523</vt:lpstr>
      <vt:lpstr>C_524</vt:lpstr>
      <vt:lpstr>C_53_D</vt:lpstr>
      <vt:lpstr>C_531</vt:lpstr>
      <vt:lpstr>C_531_CA</vt:lpstr>
      <vt:lpstr>C_531_MTO</vt:lpstr>
      <vt:lpstr>C_532</vt:lpstr>
      <vt:lpstr>C_533</vt:lpstr>
      <vt:lpstr>C_534</vt:lpstr>
      <vt:lpstr>C_54_D</vt:lpstr>
      <vt:lpstr>C_541</vt:lpstr>
      <vt:lpstr>C_541_CA</vt:lpstr>
      <vt:lpstr>C_541_MTO</vt:lpstr>
      <vt:lpstr>C_542</vt:lpstr>
      <vt:lpstr>C_543</vt:lpstr>
      <vt:lpstr>C_544</vt:lpstr>
      <vt:lpstr>C_551</vt:lpstr>
      <vt:lpstr>C_551_CA</vt:lpstr>
      <vt:lpstr>C_551_MTO</vt:lpstr>
      <vt:lpstr>C_552</vt:lpstr>
      <vt:lpstr>C_553</vt:lpstr>
      <vt:lpstr>C_554</vt:lpstr>
      <vt:lpstr>C_561_CA</vt:lpstr>
      <vt:lpstr>C_561_MTO</vt:lpstr>
      <vt:lpstr>C_6_Completion</vt:lpstr>
      <vt:lpstr>C_6_Number</vt:lpstr>
      <vt:lpstr>C_6_Rating</vt:lpstr>
      <vt:lpstr>C_6_Weight</vt:lpstr>
      <vt:lpstr>C_61_D</vt:lpstr>
      <vt:lpstr>C_611</vt:lpstr>
      <vt:lpstr>C_611_CA</vt:lpstr>
      <vt:lpstr>C_611_MTO</vt:lpstr>
      <vt:lpstr>C_612</vt:lpstr>
      <vt:lpstr>C_613</vt:lpstr>
      <vt:lpstr>C_614</vt:lpstr>
      <vt:lpstr>C_62_D</vt:lpstr>
      <vt:lpstr>C_621</vt:lpstr>
      <vt:lpstr>C_621_CA</vt:lpstr>
      <vt:lpstr>C_621_MTO</vt:lpstr>
      <vt:lpstr>C_622</vt:lpstr>
      <vt:lpstr>C_623</vt:lpstr>
      <vt:lpstr>C_624</vt:lpstr>
      <vt:lpstr>C_63_D</vt:lpstr>
      <vt:lpstr>C_631</vt:lpstr>
      <vt:lpstr>C_631_CA</vt:lpstr>
      <vt:lpstr>C_631_MTO</vt:lpstr>
      <vt:lpstr>C_632</vt:lpstr>
      <vt:lpstr>C_633</vt:lpstr>
      <vt:lpstr>C_634</vt:lpstr>
      <vt:lpstr>C_64_D</vt:lpstr>
      <vt:lpstr>C_641</vt:lpstr>
      <vt:lpstr>C_641_CA</vt:lpstr>
      <vt:lpstr>C_641_MTO</vt:lpstr>
      <vt:lpstr>C_642</vt:lpstr>
      <vt:lpstr>C_643</vt:lpstr>
      <vt:lpstr>C_644</vt:lpstr>
      <vt:lpstr>C_7_Completion</vt:lpstr>
      <vt:lpstr>C_7_Number</vt:lpstr>
      <vt:lpstr>C_7_Rating</vt:lpstr>
      <vt:lpstr>C_7_Weight</vt:lpstr>
      <vt:lpstr>C_711</vt:lpstr>
      <vt:lpstr>C_711_CA</vt:lpstr>
      <vt:lpstr>C_711_MTO</vt:lpstr>
      <vt:lpstr>C_712</vt:lpstr>
      <vt:lpstr>C_Total_Weight</vt:lpstr>
      <vt:lpstr>Final_CB</vt:lpstr>
      <vt:lpstr>Final_Score</vt:lpstr>
      <vt:lpstr>Interim_CB</vt:lpstr>
      <vt:lpstr>Month</vt:lpstr>
      <vt:lpstr>Monthly</vt:lpstr>
      <vt:lpstr>Monthly_CB</vt:lpstr>
      <vt:lpstr>Main!Print_Area</vt:lpstr>
      <vt:lpstr>Monthly!Print_Area</vt:lpstr>
      <vt:lpstr>Q_Num</vt:lpstr>
      <vt:lpstr>Retainer_CB</vt:lpstr>
      <vt:lpstr>RFP_CB</vt:lpstr>
      <vt:lpstr>RFQ_CB</vt:lpstr>
      <vt:lpstr>RR_CB</vt:lpstr>
      <vt:lpstr>Single_Source_CB</vt:lpstr>
      <vt:lpstr>Sole_Source_CB</vt:lpstr>
      <vt:lpstr>Year</vt:lpstr>
    </vt:vector>
  </TitlesOfParts>
  <Manager/>
  <Company>MGS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Hidalgo, Mireya (MTO);Liliana Mohanty</dc:creator>
  <cp:keywords/>
  <dc:description/>
  <cp:lastModifiedBy>Kiam-Pupu, Jonathan (MTO)</cp:lastModifiedBy>
  <cp:revision/>
  <dcterms:created xsi:type="dcterms:W3CDTF">2017-05-25T14:39:50Z</dcterms:created>
  <dcterms:modified xsi:type="dcterms:W3CDTF">2023-04-05T17:16:10Z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0x010100B71D5624A412A349BD182A443CFFAF67</vt:lpwstr>
  </property>
  <property fmtid="{D5CDD505-2E9C-101B-9397-08002B2CF9AE}" pid="3" name="MSIP_Label_034a106e-6316-442c-ad35-738afd673d2b_Enabled">
    <vt:lpwstr>true</vt:lpwstr>
  </property>
  <property fmtid="{D5CDD505-2E9C-101B-9397-08002B2CF9AE}" pid="4" name="MSIP_Label_034a106e-6316-442c-ad35-738afd673d2b_SetDate">
    <vt:lpwstr>2022-02-28T19:56:45Z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ContentBits">
    <vt:lpwstr>0</vt:lpwstr>
  </property>
  <property fmtid="{D5CDD505-2E9C-101B-9397-08002B2CF9AE}" pid="9" name="_dlc_DocIdItemGuid">
    <vt:lpwstr>3fa834a7-03c0-42ee-923d-154f2a5187d9</vt:lpwstr>
  </property>
</Properties>
</file>